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492" windowWidth="13512" windowHeight="11280" activeTab="0"/>
  </bookViews>
  <sheets>
    <sheet name="Existing Home Checklist" sheetId="1" r:id="rId1"/>
  </sheets>
  <definedNames>
    <definedName name="City">#REF!</definedName>
    <definedName name="ComArea">#REF!</definedName>
    <definedName name="Pname">#REF!</definedName>
    <definedName name="_xlnm.Print_Area" localSheetId="0">'Existing Home Checklist'!$A$1:$P$312</definedName>
    <definedName name="_xlnm.Print_Titles" localSheetId="0">'Existing Home Checklist'!$8:$8</definedName>
    <definedName name="Z_329D0D94_5007_4F3E_936F_2C7AB725B19C_.wvu.Cols" localSheetId="0" hidden="1">'Existing Home Checklist'!#REF!</definedName>
    <definedName name="Z_329D0D94_5007_4F3E_936F_2C7AB725B19C_.wvu.PrintArea" localSheetId="0" hidden="1">'Existing Home Checklist'!$J$1:$P$312</definedName>
    <definedName name="Z_329D0D94_5007_4F3E_936F_2C7AB725B19C_.wvu.PrintTitles" localSheetId="0" hidden="1">'Existing Home Checklist'!$1:$8</definedName>
  </definedNames>
  <calcPr fullCalcOnLoad="1"/>
</workbook>
</file>

<file path=xl/comments1.xml><?xml version="1.0" encoding="utf-8"?>
<comments xmlns="http://schemas.openxmlformats.org/spreadsheetml/2006/main">
  <authors>
    <author>Daisy Allen</author>
    <author>amy</author>
  </authors>
  <commentList>
    <comment ref="J45" authorId="0">
      <text>
        <r>
          <rPr>
            <sz val="8"/>
            <rFont val="Tahoma"/>
            <family val="2"/>
          </rPr>
          <t>If your Elements project involves construction and/or demolition, you are required to recycle all cardboard, concrete and metals.</t>
        </r>
      </text>
    </comment>
    <comment ref="J138" authorId="0">
      <text>
        <r>
          <rPr>
            <sz val="8"/>
            <rFont val="Tahoma"/>
            <family val="2"/>
          </rPr>
          <t xml:space="preserve">
Note that G1a is required to get credit for G1b and G1c.</t>
        </r>
      </text>
    </comment>
    <comment ref="J203" authorId="1">
      <text>
        <r>
          <rPr>
            <sz val="8"/>
            <rFont val="Tahoma"/>
            <family val="2"/>
          </rPr>
          <t>Measures J2, M1, and M3a and b are accounted for in software and points are not available for those measures.</t>
        </r>
        <r>
          <rPr>
            <sz val="8"/>
            <rFont val="Tahoma"/>
            <family val="2"/>
          </rPr>
          <t xml:space="preserve">
</t>
        </r>
      </text>
    </comment>
  </commentList>
</comments>
</file>

<file path=xl/sharedStrings.xml><?xml version="1.0" encoding="utf-8"?>
<sst xmlns="http://schemas.openxmlformats.org/spreadsheetml/2006/main" count="542" uniqueCount="322">
  <si>
    <r>
      <t xml:space="preserve">     b. ENERGY STAR Qualified &amp; &lt; 20 cu.ft Capacity</t>
    </r>
    <r>
      <rPr>
        <sz val="9"/>
        <color indexed="10"/>
        <rFont val="Arial"/>
        <family val="2"/>
      </rPr>
      <t xml:space="preserve"> </t>
    </r>
    <r>
      <rPr>
        <b/>
        <sz val="9"/>
        <color indexed="10"/>
        <rFont val="Arial"/>
        <family val="2"/>
      </rPr>
      <t>(Mutually Exclusive with J3)</t>
    </r>
  </si>
  <si>
    <t xml:space="preserve">4. Low-VOC Caulks &amp; Construction Adhesives (Meet SCAQMD Rule 1168) </t>
  </si>
  <si>
    <t>9. Effective Exhaust Systems Installed in Bathrooms and Kitchens</t>
  </si>
  <si>
    <t>10. Mechanical Ventilation System for Cooling Installed</t>
  </si>
  <si>
    <t>11. Mechanical Ventilation for Fresh Air Installed</t>
  </si>
  <si>
    <t xml:space="preserve">4. Zoned, Hydronic Radiant Heating </t>
  </si>
  <si>
    <t xml:space="preserve">  Points Achieved</t>
  </si>
  <si>
    <t xml:space="preserve">     b. No Plant Species Require Shearing</t>
  </si>
  <si>
    <t xml:space="preserve">    c. Porch (min. 100sf) Oriented to Streets and Public Spaces</t>
  </si>
  <si>
    <t xml:space="preserve">3. Construction IAQ Management Plan </t>
  </si>
  <si>
    <t>Total Points Available in Foundation = 10</t>
  </si>
  <si>
    <t>Total Points Available in Exterior Finish = 7</t>
  </si>
  <si>
    <t>Total Points Available in Insulation = 5</t>
  </si>
  <si>
    <t>N. OTHER</t>
  </si>
  <si>
    <t>4. Safety &amp; Social Gathering</t>
  </si>
  <si>
    <t>5. Diverse Households</t>
  </si>
  <si>
    <t xml:space="preserve">    a. Front Entrance Has Views from the Inside to Outside Callers</t>
  </si>
  <si>
    <t xml:space="preserve">    b. Front Entrance Can be Seen from the Street and/or from Other Front Doors</t>
  </si>
  <si>
    <t>2. Compact Development &amp; House Size</t>
  </si>
  <si>
    <t>2. Rain Screen Wall System Installed</t>
  </si>
  <si>
    <t>3. FSC Certified Wood</t>
  </si>
  <si>
    <t>1. Optimal Value Engineering</t>
  </si>
  <si>
    <t>A. SITE</t>
  </si>
  <si>
    <t>Possible Points</t>
  </si>
  <si>
    <t xml:space="preserve">     a. System Uses Only Low-Flow Drip, Bubblers, or Low-flow Sprinklers</t>
  </si>
  <si>
    <t>D. STRUCTURAL FRAME &amp; BUILDING ENVELOPE</t>
  </si>
  <si>
    <t>2. Use Engineered Lumber</t>
  </si>
  <si>
    <t xml:space="preserve">     b. All New Plants Have Trunk, Base, or Stem Located At Least 36 Inches from Foundation</t>
  </si>
  <si>
    <t>E. EXTERIOR FINISH</t>
  </si>
  <si>
    <t>J. BUILDING PERFORMANCE</t>
  </si>
  <si>
    <t xml:space="preserve">2. Develop Homeowner Manual of Green Features/Benefits </t>
  </si>
  <si>
    <t xml:space="preserve">     a. Floors</t>
  </si>
  <si>
    <t xml:space="preserve">     b. Walls</t>
  </si>
  <si>
    <t xml:space="preserve">     c. Roofs</t>
  </si>
  <si>
    <t xml:space="preserve">     b. Ceilings</t>
  </si>
  <si>
    <t>K. FINISHES</t>
  </si>
  <si>
    <t>L. FLOORING</t>
  </si>
  <si>
    <t xml:space="preserve">     a. Place Rafters &amp; Studs at 24-Inch On Center Framing</t>
  </si>
  <si>
    <t xml:space="preserve">     b. Size Door &amp; Window Headers for Load</t>
  </si>
  <si>
    <t xml:space="preserve">     c. Use Only Jack &amp; Cripple Studs Required for Load</t>
  </si>
  <si>
    <t xml:space="preserve">     b. All Bathroom Fans are on Timer or Humidistat</t>
  </si>
  <si>
    <t xml:space="preserve">     e. Engineered or Finger-Jointed Studs for Vertical Applications</t>
  </si>
  <si>
    <t xml:space="preserve">     a. Built-In Recycling Center</t>
  </si>
  <si>
    <t xml:space="preserve">     b. Built-In Composting Center</t>
  </si>
  <si>
    <t>B. FOUNDATION</t>
  </si>
  <si>
    <t>C.  LANDSCAPE</t>
  </si>
  <si>
    <t xml:space="preserve">      a Tightly Seal the Air Barrier between Garage and Living Area</t>
  </si>
  <si>
    <t xml:space="preserve">     b. System Has Smart Controllers</t>
  </si>
  <si>
    <t>F. INSULATION</t>
  </si>
  <si>
    <t>G. PLUMBING</t>
  </si>
  <si>
    <t>H. HEATING, VENTILATION &amp; AIR CONDITIONING</t>
  </si>
  <si>
    <t>I. RENEWABLE ENERGY</t>
  </si>
  <si>
    <t xml:space="preserve">     d. Lot Includes Full-Function Independent Rental Unit</t>
  </si>
  <si>
    <t xml:space="preserve">AA. COMMUNITY </t>
  </si>
  <si>
    <t>3. Retrofit Crawl Space to Control Moisture</t>
  </si>
  <si>
    <t>3. Minimal Turf Areas</t>
  </si>
  <si>
    <t>6. High-Efficiency Irrigation Systems Installed</t>
  </si>
  <si>
    <t>1. Entryways Designed to Reduce Tracked in Contaminants</t>
  </si>
  <si>
    <t>2. Low/No-VOC Paint</t>
  </si>
  <si>
    <t>M. APPLIANCES AND LIGHTING</t>
  </si>
  <si>
    <t>R</t>
  </si>
  <si>
    <t>1. Distribute Domestic Hot Water Efficiently</t>
  </si>
  <si>
    <t xml:space="preserve">     f.  Oriented Strand Board for Sublfoor</t>
  </si>
  <si>
    <t>5. Design and Build Structural Pest Controls</t>
  </si>
  <si>
    <t>1.  Resource-Efficient Landscapes</t>
  </si>
  <si>
    <t>6. Energy Heels on Roof Trusses (75% of Attic Insulation Height at Outside Edge of Exterior Wall)</t>
  </si>
  <si>
    <t>3. Sealed Combustion Units</t>
  </si>
  <si>
    <t xml:space="preserve">     a. Low-VOC Interior Wall/Ceiling Paints (&lt;50 gpl VOCs regardless of sheen)</t>
  </si>
  <si>
    <t xml:space="preserve">     b. Zero-VOC: Interior Wall/Ceiling Paints (&lt;5 gpl VOCs (flat) )</t>
  </si>
  <si>
    <t>4. Solid Wall Systems (includes SIPs, ICFs, &amp; Any Non-Stick Frame Assembly)</t>
  </si>
  <si>
    <t>1. Recycled-Content (No Virgin Plastic) or FSC-Certified Wood Decking</t>
  </si>
  <si>
    <t xml:space="preserve">     b. Duct Mastic Used on All Ducts, Joints and Seams</t>
  </si>
  <si>
    <t>4. Pest Inspection and Correction</t>
  </si>
  <si>
    <t xml:space="preserve">     a. No Invasive Species Listed by Cal-IPC Are Planted</t>
  </si>
  <si>
    <t xml:space="preserve">2. Fire-Safe Landscaping Techniques </t>
  </si>
  <si>
    <t>3. Coatings Meet SCAQMD Rule 1113 for Low VOCs</t>
  </si>
  <si>
    <t xml:space="preserve">     a. Furnaces</t>
  </si>
  <si>
    <t xml:space="preserve">5. Plants Grouped by Water Needs (Hydrozoning)  </t>
  </si>
  <si>
    <t xml:space="preserve">     a. Turf Not Installed on Slopes Exceeding 10% or in Areas Less than 8 Feet Wide</t>
  </si>
  <si>
    <t xml:space="preserve">     a. Walls and Floors</t>
  </si>
  <si>
    <t>2. Thermal Mass Floors</t>
  </si>
  <si>
    <t xml:space="preserve">        5 Services Listed Above (Tier 2 Services count as 1/2 Service Value)</t>
  </si>
  <si>
    <t xml:space="preserve">       10 Services Listed Above (Tier 2 Services count as 1/2 Service Value)</t>
  </si>
  <si>
    <t xml:space="preserve">3. Pedestrian and Bicycle Access/ Alternative Transportation </t>
  </si>
  <si>
    <t>Designated Bicycle Lanes are Present on Roadways;</t>
  </si>
  <si>
    <t>Ten-Foot Vehicle Travel Lanes;</t>
  </si>
  <si>
    <t>Street Crossings Closest to Site are Located Less Than 300 Feet Apart;</t>
  </si>
  <si>
    <t>Streets Have Rumble Strips, Bulbouts, Raised Crosswalks or Refuge Islands</t>
  </si>
  <si>
    <t xml:space="preserve">    c. At Least Two of the Following Traffic-Calming Strategies Installed within 1/4 mile: </t>
  </si>
  <si>
    <t xml:space="preserve">     b. Foundation Drainage System</t>
  </si>
  <si>
    <t xml:space="preserve">6. Radon Testing and Correction or Radon Resistant Construction </t>
  </si>
  <si>
    <t xml:space="preserve">7. Compost and Recycle Garden Trimmings on Site </t>
  </si>
  <si>
    <t>10. Light Pollution Reduced by Shielding Fixtures and Directing Light Downward</t>
  </si>
  <si>
    <t xml:space="preserve">     b. Minimum 24-Inch Overhangs and Gutters</t>
  </si>
  <si>
    <t xml:space="preserve">     a. Minimum 16-Inch Overhangs and Gutters</t>
  </si>
  <si>
    <t xml:space="preserve">     a. New Ductwork and HVAC unit Installed Within Conditioned Space </t>
  </si>
  <si>
    <t xml:space="preserve">     c. Turf is &lt;10% of Landscaped Area or eliminated </t>
  </si>
  <si>
    <t>3. Inspect Quality of Insulation Installation before Applying Drywall</t>
  </si>
  <si>
    <t xml:space="preserve">3. Water Efficient Fixtures </t>
  </si>
  <si>
    <t>Project Name</t>
  </si>
  <si>
    <t xml:space="preserve">                  10) Convenience Store Where Meat &amp; Produce are Sold</t>
  </si>
  <si>
    <t>Summary</t>
  </si>
  <si>
    <t>Total Points Available in Flooring = 7</t>
  </si>
  <si>
    <t>Total Points Achieved</t>
  </si>
  <si>
    <t xml:space="preserve">     a. Control Ground Moisture with Vapor Barrier  </t>
  </si>
  <si>
    <t xml:space="preserve">4. Shade Trees Planted    </t>
  </si>
  <si>
    <t xml:space="preserve">8. Mulch in All Planting Beds to the Greater of 2 Inches or Local Water Ordinance Requirement  </t>
  </si>
  <si>
    <t xml:space="preserve">     b.Water heaters</t>
  </si>
  <si>
    <t xml:space="preserve">     c. 50% of Plants Are California Natives or Mediterranean Cimate Species </t>
  </si>
  <si>
    <t>Total Available Points</t>
  </si>
  <si>
    <t>4. Gas Shut Off Valve (motion/ non-motion)</t>
  </si>
  <si>
    <t xml:space="preserve">  Community</t>
  </si>
  <si>
    <t xml:space="preserve">  Energy</t>
  </si>
  <si>
    <t xml:space="preserve">  IAQ/Health</t>
  </si>
  <si>
    <t xml:space="preserve">  Resources</t>
  </si>
  <si>
    <t xml:space="preserve">  Water</t>
  </si>
  <si>
    <t>GreenPoint Elements</t>
  </si>
  <si>
    <t>Points Achieved:</t>
  </si>
  <si>
    <t>6. Effective Ductwork Installation</t>
  </si>
  <si>
    <t xml:space="preserve">8. Retrofit/ Upgrade Structure for Lateral Load Reinforcement for Wind or Seismic </t>
  </si>
  <si>
    <t>3. Hazardous Waste Testing</t>
  </si>
  <si>
    <t xml:space="preserve">     a. Lead Testing Interior, Exterior and Soil</t>
  </si>
  <si>
    <t xml:space="preserve">     b. Asbestos Testing and Remediation  </t>
  </si>
  <si>
    <t>12. Carbon Monoxide</t>
  </si>
  <si>
    <t>GreenPoint Rated Existing Home Checklist</t>
  </si>
  <si>
    <t>Whole House</t>
  </si>
  <si>
    <t xml:space="preserve">     a. Site has Pedestrian Access Within ½ Mile of neighborhood services:   </t>
  </si>
  <si>
    <t>1. Protect Existing Topsoil from Erosion and Reuse after Construction</t>
  </si>
  <si>
    <t xml:space="preserve">      b. Install Garage Exhaust Fan OR Have a Detached Garage</t>
  </si>
  <si>
    <t xml:space="preserve">     b.  Locate Water Heater Within 12' Of All Water Fixtures, as measured in plan</t>
  </si>
  <si>
    <t xml:space="preserve">TIER 1:  Practices in Tier 1 Are Worth Full Value (1 point)      </t>
  </si>
  <si>
    <t xml:space="preserve">TIER 2:  Practices in Tier 2 Are Worth Half Value (0.5 points) </t>
  </si>
  <si>
    <t>Total Points Available in Structural Frame &amp; Building Envelope = 36</t>
  </si>
  <si>
    <r>
      <t>5.  Reduce Pollution Entering the Home from the Garage</t>
    </r>
    <r>
      <rPr>
        <sz val="9"/>
        <rFont val="Arial"/>
        <family val="2"/>
      </rPr>
      <t xml:space="preserve"> </t>
    </r>
  </si>
  <si>
    <t>8. No Fireplace OR Sealed Gas Fireplaces with Efficiency Rating ≥60% using CSA Standards</t>
  </si>
  <si>
    <t xml:space="preserve">     a. Minimum 20% Flyash and/or Slag Content</t>
  </si>
  <si>
    <t xml:space="preserve">     b. Minimum 30% Flyash and/or Slag Content</t>
  </si>
  <si>
    <t xml:space="preserve">1. Replace Portland Cement in Concrete with Recycled Flyash or Slag </t>
  </si>
  <si>
    <r>
      <t xml:space="preserve">2. Moisture Source Verification and Correction </t>
    </r>
    <r>
      <rPr>
        <b/>
        <sz val="9"/>
        <color indexed="10"/>
        <rFont val="Arial"/>
        <family val="2"/>
      </rPr>
      <t>(Required for Whole House)</t>
    </r>
  </si>
  <si>
    <t>12. Soil Amended with Compost</t>
  </si>
  <si>
    <t xml:space="preserve">     a. Engineered Beams &amp; Headers</t>
  </si>
  <si>
    <t xml:space="preserve">     g. Oriented Strand Board Wall and Roof Sheathing</t>
  </si>
  <si>
    <t xml:space="preserve">7. Overhangs and Gutters </t>
  </si>
  <si>
    <r>
      <t xml:space="preserve">9. Sound Exterior Assemblies </t>
    </r>
    <r>
      <rPr>
        <b/>
        <sz val="9"/>
        <color indexed="10"/>
        <rFont val="Arial"/>
        <family val="2"/>
      </rPr>
      <t>(Required for Whole House)</t>
    </r>
  </si>
  <si>
    <t xml:space="preserve">     a. ENERGY STAR Bathroom Fans Vented to the Outside</t>
  </si>
  <si>
    <t xml:space="preserve">     c. Kitchen Range Hood Vented to the Outside</t>
  </si>
  <si>
    <t xml:space="preserve">     a. ENERGY STAR Ceiling Fans &amp; Light Kits in Living Areas &amp; Bedrooms</t>
  </si>
  <si>
    <t xml:space="preserve">     b. Whole House Fan</t>
  </si>
  <si>
    <t xml:space="preserve">   a) Attic Insulation up to or Exceeding Current Code      </t>
  </si>
  <si>
    <t xml:space="preserve">   b) Crawl Space Insulation up to or Exceeding Current Code</t>
  </si>
  <si>
    <t xml:space="preserve">   c) Wall Insulation up to or Exceeding Current Code  </t>
  </si>
  <si>
    <t xml:space="preserve">   d) High Efficiency Furnace (90% AFUE Minimum)    </t>
  </si>
  <si>
    <t xml:space="preserve">   e) Seal Ducts and Duct Leakage is &lt;15%</t>
  </si>
  <si>
    <t xml:space="preserve">    i) Radiant Barrier in Attic</t>
  </si>
  <si>
    <t xml:space="preserve">    j) Windows Upgraded to Current Code Requirements, Which are Typically Dual Pane</t>
  </si>
  <si>
    <t xml:space="preserve">    k) Duct insulation to Code      </t>
  </si>
  <si>
    <t>3. ENERGY STAR Refrigerator Installed</t>
  </si>
  <si>
    <t>4. Built-In Recycling &amp; Composting Center</t>
  </si>
  <si>
    <t xml:space="preserve">7. Energy Efficient Lighting </t>
  </si>
  <si>
    <r>
      <t xml:space="preserve">  a. All Fixtures Meet Federal Energy Policy Act (Toilets: 1.6 gpf, Sinks: 2.2 gpm, Showers: 
      2.5 gpm)</t>
    </r>
    <r>
      <rPr>
        <sz val="9"/>
        <color indexed="10"/>
        <rFont val="Arial"/>
        <family val="2"/>
      </rPr>
      <t xml:space="preserve"> </t>
    </r>
    <r>
      <rPr>
        <b/>
        <sz val="9"/>
        <color indexed="10"/>
        <rFont val="Arial"/>
        <family val="2"/>
      </rPr>
      <t>(Required For Whole House)</t>
    </r>
  </si>
  <si>
    <t>No</t>
  </si>
  <si>
    <t xml:space="preserve">Enter Label: </t>
  </si>
  <si>
    <t>224+</t>
  </si>
  <si>
    <t>Minimum Points Required (Whole House)</t>
  </si>
  <si>
    <t>Minimum Points Required (Elements)</t>
  </si>
  <si>
    <t>2. Design and Install HVAC System to ACCA Manuals J, D and S</t>
  </si>
  <si>
    <r>
      <t xml:space="preserve">2. High-Efficiency Toilets (Dual-Flush or </t>
    </r>
    <r>
      <rPr>
        <b/>
        <sz val="9"/>
        <rFont val="Arial"/>
        <family val="2"/>
      </rPr>
      <t>≤</t>
    </r>
    <r>
      <rPr>
        <b/>
        <sz val="9"/>
        <rFont val="Arial"/>
        <family val="2"/>
      </rPr>
      <t xml:space="preserve"> 1.28 gpf)</t>
    </r>
  </si>
  <si>
    <t xml:space="preserve">    a.  Cabinets </t>
  </si>
  <si>
    <t xml:space="preserve">    b.  Interior Trim</t>
  </si>
  <si>
    <t xml:space="preserve">    c.  Shelving </t>
  </si>
  <si>
    <t xml:space="preserve">    d.  Doors</t>
  </si>
  <si>
    <t xml:space="preserve">    e.  Countertops </t>
  </si>
  <si>
    <t>TBD</t>
  </si>
  <si>
    <t xml:space="preserve">    b. Carbon Monoxide Alarm(s) Installed</t>
  </si>
  <si>
    <r>
      <t>5. High Efficiency Air Conditioning Air conditioning with Environmentally 
    Responsible Refrigerants</t>
    </r>
    <r>
      <rPr>
        <sz val="9"/>
        <rFont val="Arial"/>
        <family val="2"/>
      </rPr>
      <t xml:space="preserve">  </t>
    </r>
  </si>
  <si>
    <t xml:space="preserve">     a. Install Termite Shields &amp; Separate All Exterior Wood-to-Concrete Connections by  
         Metal or Plastic Fasteners/Dividers</t>
  </si>
  <si>
    <t xml:space="preserve">3. Flooring Meets CA Section 01350 or CRI Green Label Plus Requirements </t>
  </si>
  <si>
    <t xml:space="preserve">     b. Conduct Diagnostic Testing to Evaluate System </t>
  </si>
  <si>
    <t xml:space="preserve">     c. Conduct Flow Hood Test and Assess Delivery of Air</t>
  </si>
  <si>
    <t xml:space="preserve">     d. Air Conditioning Compressor Operates Properly and Refrigerant Charge is Optimal</t>
  </si>
  <si>
    <t xml:space="preserve">     c.  Install On-Demand Circulation Control Pump</t>
  </si>
  <si>
    <t xml:space="preserve">     b. All Main Floor Interior Doors &amp; Passageways Have a Min. 32-Inch Clear Passage Space</t>
  </si>
  <si>
    <r>
      <t xml:space="preserve">    a. Carbon Monoxide Testing and Correction</t>
    </r>
    <r>
      <rPr>
        <b/>
        <sz val="9"/>
        <color indexed="10"/>
        <rFont val="Arial"/>
        <family val="2"/>
      </rPr>
      <t xml:space="preserve"> (Required for Whole House)</t>
    </r>
  </si>
  <si>
    <t xml:space="preserve">   g) House Passes Blower Door Test With ≤0.5 ACH or a 50% Improvement</t>
  </si>
  <si>
    <t>6. Environmentally Preferable Materials for Interior Finish: A) FSC Certified Wood B) Reclaimed Materials C) Rapidly Renewable D) Recycled-Content E) Finger-Jointed or F) Local</t>
  </si>
  <si>
    <t xml:space="preserve"> a. Partial Lateral Load Reinforcement  Upgrades/ Retrofits</t>
  </si>
  <si>
    <t xml:space="preserve"> b. Lateral Load Reinforcement Upgrades/ Retrofits for Entire home</t>
  </si>
  <si>
    <t xml:space="preserve">     c. Home includes at Least a Half-Bath on the Ground Floor with Blocking for Grab Bars</t>
  </si>
  <si>
    <t xml:space="preserve">1. General HVAC Equipment Verification and Correction </t>
  </si>
  <si>
    <t>2. Divert Construction and Demolition Waste</t>
  </si>
  <si>
    <r>
      <t xml:space="preserve">     a. Divert All Cardboard, Concrete, Asphalt and Metals </t>
    </r>
    <r>
      <rPr>
        <b/>
        <sz val="9"/>
        <color indexed="10"/>
        <rFont val="Arial"/>
        <family val="2"/>
      </rPr>
      <t>(Required for both Whole 
         House and Elements, if Applicable)</t>
    </r>
    <r>
      <rPr>
        <b/>
        <sz val="9"/>
        <rFont val="Arial"/>
        <family val="2"/>
      </rPr>
      <t xml:space="preserve"> </t>
    </r>
  </si>
  <si>
    <t xml:space="preserve">     b. Insulated Headers</t>
  </si>
  <si>
    <t>A. Site</t>
  </si>
  <si>
    <t>1. Cool Site</t>
  </si>
  <si>
    <t xml:space="preserve">C. Landscaping </t>
  </si>
  <si>
    <t xml:space="preserve">1. Irrigation System Uses Recycled Wastewater </t>
  </si>
  <si>
    <t xml:space="preserve">D. Structural Frame and Building Envelope </t>
  </si>
  <si>
    <t>1. Design, Build and Maintain Structural Pest and Rot Controls</t>
  </si>
  <si>
    <t xml:space="preserve">a. Locate All Wood (Siding, Trim, Structure) At Least 12 Inches Above Soil </t>
  </si>
  <si>
    <t>b. All Wood Framing 3 Feet from the Foundation is Treated with Borates (or Use Factory-Impregnated Materials) OR Walls are Not Made of Wood</t>
  </si>
  <si>
    <t xml:space="preserve">2. Use Moisture Resistant Materials and Practices in Wet Areas of Kitchen, Bathrooms, Utility Rooms, and Basements </t>
  </si>
  <si>
    <t>3. Use FSC-Certified Engineered Lumber</t>
  </si>
  <si>
    <t>a. Engineered Beams and Headers</t>
  </si>
  <si>
    <t>b. Insulated Engineered Headers</t>
  </si>
  <si>
    <t>c. Wood I-Joists or Web Trusses for Floors</t>
  </si>
  <si>
    <t>d. Wood I-Joists for Roof Rafters</t>
  </si>
  <si>
    <t>e. Engineered or Finger-Jointed Studs for Vertical Applications</t>
  </si>
  <si>
    <t>f. Roof Trusses</t>
  </si>
  <si>
    <t>E. Exterior Finish</t>
  </si>
  <si>
    <t>1. Green Roofs (25% or Roof Area Minimum)</t>
  </si>
  <si>
    <t>G. Plumbing</t>
  </si>
  <si>
    <t>1. Graywater Pre-Plumbing (Includes Clothes Washer at Minimum)</t>
  </si>
  <si>
    <t>2. Graywater System Operational (Includes Clothes Washer at Minimum)</t>
  </si>
  <si>
    <t>3. Innovative Wastewater Technology (Constructed Wetland, Sand Filter, Aerobic System)</t>
  </si>
  <si>
    <t xml:space="preserve">4. Composting or Waterless Toilet </t>
  </si>
  <si>
    <t>5. Install Drain Water Heat-Recovery System</t>
  </si>
  <si>
    <t>H. Heating, Ventilation and Air Conditioning (HVAC)</t>
  </si>
  <si>
    <t>1. Humidity Control Systems (Only in California Humid/Marine Climate Zones 1,3,5,6,7)</t>
  </si>
  <si>
    <t>J. Building Performance</t>
  </si>
  <si>
    <t>1. Test Total Supply Air Flow Rates</t>
  </si>
  <si>
    <t>K. Finishes: No Innovation Measures At This Time.</t>
  </si>
  <si>
    <t>L. Flooring: No Innovation Measures At This Time.</t>
  </si>
  <si>
    <t>M. Appliances: No Innovation Measures At This Time.</t>
  </si>
  <si>
    <t>N. Other</t>
  </si>
  <si>
    <t xml:space="preserve">1. Homebuilder's Management Staff Are Certified Green Building Professionals </t>
  </si>
  <si>
    <t>2. Comprehensive Owner's Manual and Homeowner Education Walkthroughs</t>
  </si>
  <si>
    <t>Total Points Available in Other = 6</t>
  </si>
  <si>
    <t>AA. Community: No Innovation Measures At This Time</t>
  </si>
  <si>
    <t>B. Foundation: No Innovation Measures At This Time</t>
  </si>
  <si>
    <t>F. Insulation: No Innovation Measures At This Time</t>
  </si>
  <si>
    <t>I. Renewable Energy: No Innovation Measures At This Time</t>
  </si>
  <si>
    <t>P. INNOVATIONS</t>
  </si>
  <si>
    <t>2. Energy Budget Analysis (J3) Completed By CEPE</t>
  </si>
  <si>
    <t xml:space="preserve">                   7) Library                     8) Farmer's Market               9) After School Programs</t>
  </si>
  <si>
    <t xml:space="preserve">                   4) Drug Store            5) Restaurant                           6) School</t>
  </si>
  <si>
    <t xml:space="preserve">   TIER 1:   1) Day Care               2) Community Center           3) Public Park</t>
  </si>
  <si>
    <t xml:space="preserve">                     4) Hardware         5) Theater/Entertainment         6) Fitness/Gym</t>
  </si>
  <si>
    <t xml:space="preserve">     TIER 2:  1) Bank                 2) Place of Worship                    3) Laundry/Cleaners</t>
  </si>
  <si>
    <t xml:space="preserve">                     7) Post Office    8) Senior Care Facility                9) Medical/Dental</t>
  </si>
  <si>
    <t xml:space="preserve">5. Recycled-Content Paint </t>
  </si>
  <si>
    <r>
      <t xml:space="preserve">1. Environmentally Preferable Flooring: A) FSC-Certified Wood B) Reclaimed or Refinished  C) Rapidly Renewable D) Recycled-Content, E) Exposed Concrete F) Local </t>
    </r>
    <r>
      <rPr>
        <b/>
        <i/>
        <sz val="9"/>
        <rFont val="Arial"/>
        <family val="2"/>
      </rPr>
      <t xml:space="preserve">
Flooring Adhesives Must Have &lt;70 gpl VOCs and sealer must meet SCAQMD Rule 1113.</t>
    </r>
  </si>
  <si>
    <t>6. Verification of Entire Electrical System</t>
  </si>
  <si>
    <r>
      <t xml:space="preserve">1. Incorporate GreenPoint Checklist in Blueprints Or Distribute Checklist </t>
    </r>
    <r>
      <rPr>
        <b/>
        <sz val="9"/>
        <color indexed="10"/>
        <rFont val="Arial"/>
        <family val="2"/>
      </rPr>
      <t>(Required for Whole House and Elements)</t>
    </r>
  </si>
  <si>
    <t xml:space="preserve">     a.  Describe Innovation Here and Enter Possible Points in Columns L-P</t>
  </si>
  <si>
    <t xml:space="preserve">     b.  Describe Innovation Here and Enter Possible Points in Columns L-P</t>
  </si>
  <si>
    <t xml:space="preserve">     c.  Describe Innovation Here and Enter Possible Points in Columns L-P</t>
  </si>
  <si>
    <t xml:space="preserve">     d.  Describe Innovation Here and Enter Possible Points in Columns L-P</t>
  </si>
  <si>
    <t xml:space="preserve">     e.  Describe Innovation Here and Enter Possible Points in Columns L-P</t>
  </si>
  <si>
    <t xml:space="preserve">     f.   Describe Innovation Here and Enter Possible Points in Columns L-P</t>
  </si>
  <si>
    <t xml:space="preserve">     g.  Describe Innovation Here  and Enter Possible Points in Columns L-P</t>
  </si>
  <si>
    <t xml:space="preserve">     h.  Describe Innovation Here  and Enter Possible Points in Columns L-P</t>
  </si>
  <si>
    <t>11.  Rain Water Harvesting System (1 point for ≤ 350 gallons, 2 points for &gt; 350 gallons)</t>
  </si>
  <si>
    <t>3. Additional Innovations: List innovative measures that meet green building objectives. Points will be assessed by Build It Green and the GreenPoint Rater.</t>
  </si>
  <si>
    <r>
      <t xml:space="preserve">    a. Density of 10 Units per Acre or Greater </t>
    </r>
    <r>
      <rPr>
        <b/>
        <sz val="9"/>
        <color indexed="10"/>
        <rFont val="Arial"/>
        <family val="2"/>
      </rPr>
      <t>(Enter units/acre)</t>
    </r>
  </si>
  <si>
    <t xml:space="preserve">                    10) Hair Care       11) Commercial Office of Major Employer   12) Full 
                     Supermarket</t>
  </si>
  <si>
    <r>
      <t xml:space="preserve">13.  Combustion Safety Backdraft Test </t>
    </r>
    <r>
      <rPr>
        <b/>
        <sz val="9"/>
        <color indexed="10"/>
        <rFont val="Arial"/>
        <family val="2"/>
      </rPr>
      <t>(Required for Whole House and Elements)</t>
    </r>
  </si>
  <si>
    <t xml:space="preserve">     a. Dimensional Lumber, Studs, and Timber</t>
  </si>
  <si>
    <t xml:space="preserve">     b. Panel Products</t>
  </si>
  <si>
    <r>
      <t xml:space="preserve">     a. Visual Survey of Installation of HVAC Equipment </t>
    </r>
    <r>
      <rPr>
        <b/>
        <sz val="9"/>
        <color indexed="10"/>
        <rFont val="Arial"/>
        <family val="2"/>
      </rPr>
      <t>(Required for Whole 
         House and Elements)</t>
    </r>
  </si>
  <si>
    <r>
      <t xml:space="preserve">5. Electrical Survey </t>
    </r>
    <r>
      <rPr>
        <b/>
        <sz val="9"/>
        <color indexed="10"/>
        <rFont val="Arial"/>
        <family val="2"/>
      </rPr>
      <t xml:space="preserve"> (Required for Whole House)</t>
    </r>
  </si>
  <si>
    <t xml:space="preserve">     b. Turf is &lt;25% of Landscaped Area </t>
  </si>
  <si>
    <t xml:space="preserve">    1.  Home is Located within 1/2 Mile of a Major Transit Stop</t>
  </si>
  <si>
    <t xml:space="preserve">     a. Home Has at Least One Zero-Step Entrance (prerequiste for 5b. And 5c.)</t>
  </si>
  <si>
    <t xml:space="preserve">     b. Divert 25% C&amp;D Waste Excluding All Cardboard, Concrete, Asphalt and Metals  </t>
  </si>
  <si>
    <t xml:space="preserve">     c. Engineered Lumber for Floors</t>
  </si>
  <si>
    <t>3. Durable &amp; Noncombustible Cladding Materials</t>
  </si>
  <si>
    <t>4. Durable &amp; Fire-Resistant Roofing Materials or Assembly</t>
  </si>
  <si>
    <r>
      <t xml:space="preserve">4. Plumbing Survey (No Plumbing Leaks) </t>
    </r>
    <r>
      <rPr>
        <b/>
        <sz val="9"/>
        <color indexed="10"/>
        <rFont val="Arial"/>
        <family val="2"/>
      </rPr>
      <t>(Required for Whole House and Elements)</t>
    </r>
  </si>
  <si>
    <t xml:space="preserve">     c. Ductwork System is Pressure Relieved</t>
  </si>
  <si>
    <t xml:space="preserve"> 1. Offset Energy Consumption with Onsite Renewable Generation 
     (Solar PV, Solar Thermal, Wind)
     Enter % total energy consumption offset, 1 point per 4% offset</t>
  </si>
  <si>
    <r>
      <t xml:space="preserve"> 1.  ENERGY STAR Dishwasher (Must Meet Current Specifications) </t>
    </r>
    <r>
      <rPr>
        <b/>
        <sz val="9"/>
        <color indexed="10"/>
        <rFont val="Arial"/>
        <family val="2"/>
      </rPr>
      <t>(Mutually Exclusive with J3)</t>
    </r>
  </si>
  <si>
    <t xml:space="preserve">9. Lighting Controls Installed </t>
  </si>
  <si>
    <t xml:space="preserve">    8.Low- Mercury Lamps (Linear and Compact Flourescent)</t>
  </si>
  <si>
    <t>9. Use Environmentally Preferable Materials for Non-Plant Landscape Elements and Fencing</t>
  </si>
  <si>
    <r>
      <t xml:space="preserve"> 3. Meet Energy Budget for Home Based on Year (Based GreenPoint Rated Index, Includes Blower Door Test) </t>
    </r>
    <r>
      <rPr>
        <b/>
        <sz val="9"/>
        <color indexed="10"/>
        <rFont val="Arial"/>
        <family val="2"/>
      </rPr>
      <t>(Required for Whole House, Available for Elements)</t>
    </r>
  </si>
  <si>
    <t>10+</t>
  </si>
  <si>
    <t>4. Design and Build Zero Energy Homes</t>
  </si>
  <si>
    <t>5. Comprehensive Utility Bill Analysis</t>
  </si>
  <si>
    <t>a. Doors</t>
  </si>
  <si>
    <t>c. Interior Trim and Shelving</t>
  </si>
  <si>
    <t>b. Cabinets and Countertops</t>
  </si>
  <si>
    <t>a. Cistern(s) is Less Than 750 Gallons</t>
  </si>
  <si>
    <t>b. Cistern(s) is 750 to 2,500 Gallons</t>
  </si>
  <si>
    <t>c. Cistern(s) is Greater Than 2,500 Gallons</t>
  </si>
  <si>
    <t>b. Advanced Ventilation Practices (Continuous Operation, Sone Limit, Minimum 
    Efficiency, Minimum Ventilation Rate, Homeowner Instructions)</t>
  </si>
  <si>
    <t>c. Outdoor Air Ducted to Bedroom and Living Areas of Home</t>
  </si>
  <si>
    <t xml:space="preserve">    b. Access to A Dedicated Pedestrian Pathway to Places of Recreational Interest within 1/2 Mile</t>
  </si>
  <si>
    <t>Total Points Available in Landscape = 32</t>
  </si>
  <si>
    <t>Total Points Available in Renewable Energy = 25</t>
  </si>
  <si>
    <r>
      <t>2. Energy Upgrades</t>
    </r>
    <r>
      <rPr>
        <b/>
        <sz val="9"/>
        <color indexed="20"/>
        <rFont val="Arial"/>
        <family val="2"/>
      </rPr>
      <t xml:space="preserve"> </t>
    </r>
    <r>
      <rPr>
        <b/>
        <sz val="9"/>
        <color indexed="10"/>
        <rFont val="Arial"/>
        <family val="2"/>
      </rPr>
      <t>(Available for Elements Rating Only, Mutually Exclusive with J3.  2 point minimum and 6 point maximum credit required)</t>
    </r>
  </si>
  <si>
    <t>Total Points Available in Building Performance = 16+</t>
  </si>
  <si>
    <t>Total Points Available in Finishes = 21</t>
  </si>
  <si>
    <r>
      <t>a.</t>
    </r>
    <r>
      <rPr>
        <sz val="9"/>
        <color indexed="10"/>
        <rFont val="Arial"/>
        <family val="2"/>
      </rPr>
      <t xml:space="preserve"> </t>
    </r>
    <r>
      <rPr>
        <sz val="9"/>
        <rFont val="Arial"/>
        <family val="2"/>
      </rPr>
      <t xml:space="preserve">Compliance with ASHRAE 62.2 Mechanical Ventilation Standards (as 
    adopted in Title 24 Part 6)  </t>
    </r>
  </si>
  <si>
    <t>1. Energy Survey and Education  (Required for Elements or Meet J3)</t>
  </si>
  <si>
    <t>2. Install Insulation that is Low-Emitting (Certified CA Residential Section 01350)</t>
  </si>
  <si>
    <t>1. Install Insulation with 30% Post-Consumer Recycled Content</t>
  </si>
  <si>
    <t>Total Points Available in Plumbing = 13</t>
  </si>
  <si>
    <t>Total Points Available in Heating, Ventilation and Air Conditioning = 30</t>
  </si>
  <si>
    <t>Total Points Available in Site = 6</t>
  </si>
  <si>
    <t>Is the landscape area &lt;15% of the total site area? (only 3 points available in this section for projects with &lt;15% landscape area)</t>
  </si>
  <si>
    <t>Total Points Available in Appliances and Lighting = 13+</t>
  </si>
  <si>
    <t>1--9</t>
  </si>
  <si>
    <r>
      <t xml:space="preserve">    b. Home Size Efficiency</t>
    </r>
    <r>
      <rPr>
        <sz val="9"/>
        <color indexed="10"/>
        <rFont val="Arial"/>
        <family val="2"/>
      </rPr>
      <t xml:space="preserve"> </t>
    </r>
    <r>
      <rPr>
        <b/>
        <sz val="9"/>
        <color indexed="10"/>
        <rFont val="Arial"/>
        <family val="2"/>
      </rPr>
      <t>(5 points is average, points awarded based on home size)</t>
    </r>
  </si>
  <si>
    <t>Total Points Available in Community = 26</t>
  </si>
  <si>
    <t xml:space="preserve">     a. Insulate All Accessible Hot Water Pipes (prerequisite for 1b. and 1c.)</t>
  </si>
  <si>
    <t>Total Points Available in Innovation = 26+</t>
  </si>
  <si>
    <r>
      <t xml:space="preserve">7. For Newly Installed Products, Reduce Formaldehyde in Interior Finish – Meet Current CARB Airborne Toxic Control Measure (ATCM) for Composite Wood Formaldehyde Limits by Mandatory Compliance Dates (Required for </t>
    </r>
    <r>
      <rPr>
        <b/>
        <sz val="9"/>
        <color indexed="10"/>
        <rFont val="Arial"/>
        <family val="2"/>
      </rPr>
      <t>Whole Building &amp; Elements</t>
    </r>
    <r>
      <rPr>
        <b/>
        <sz val="9"/>
        <rFont val="Arial"/>
        <family val="2"/>
      </rPr>
      <t>) 
(</t>
    </r>
    <r>
      <rPr>
        <b/>
        <sz val="9"/>
        <color indexed="48"/>
        <rFont val="Arial"/>
        <family val="2"/>
      </rPr>
      <t>EPA IAP</t>
    </r>
    <r>
      <rPr>
        <b/>
        <sz val="9"/>
        <rFont val="Arial"/>
        <family val="2"/>
      </rPr>
      <t>)</t>
    </r>
  </si>
  <si>
    <t>8. Reduce Formaldehyde in Interior Finish - Exceed Current CARB ATCM for Composite Wood Formaldehyde Limits Prior to Mandatory Compliance Dates</t>
  </si>
  <si>
    <t>9. After Installation of Finishes, Test of Indoor Air Shows Formaldehyde Level &lt;27ppb</t>
  </si>
  <si>
    <t xml:space="preserve">  b. High-Efficiency Showerheads  Use ≤ 1.8 gpm at 80 psi</t>
  </si>
  <si>
    <t xml:space="preserve">  c. Bathroom Faucets Use ≤ 1.2 gpm</t>
  </si>
  <si>
    <t>7. High Efficiency HVAC Filter (MERV 13+)</t>
  </si>
  <si>
    <t xml:space="preserve">     a. Meets CEE Tier 2 Requirements (Modified Energy Factor 2.92, Water Factor 3.2)</t>
  </si>
  <si>
    <t xml:space="preserve">     b. Meets CEE Advanced Tier Requirements (Modified Energy Factor 3.10, Water Factor 3.0)</t>
  </si>
  <si>
    <t>2.  ENERGY STAR Clothes Washing Machine with Water Factor of 3.2 or Less</t>
  </si>
  <si>
    <t xml:space="preserve">   f) 15 SEER, 12 EER Air Conditioning Unit (in climate zones 2,4,8-15)     </t>
  </si>
  <si>
    <t xml:space="preserve">    m) 15 SEER, 12 EER Air Conditioning unit (in climate zones 1,3,5,6,7,16)                               </t>
  </si>
  <si>
    <t xml:space="preserve">    h) High Efficiency Water Heater ≥.67EF       </t>
  </si>
  <si>
    <t xml:space="preserve">    l)  ENERGY STAR Thermostat    </t>
  </si>
  <si>
    <r>
      <t xml:space="preserve">     a. ENERGY STAR Qualified &amp; &lt; 25 cu.ft.Capacity  </t>
    </r>
    <r>
      <rPr>
        <b/>
        <sz val="9"/>
        <color indexed="10"/>
        <rFont val="Arial"/>
        <family val="2"/>
      </rPr>
      <t>(Mutually Exclusive with J3)</t>
    </r>
  </si>
  <si>
    <r>
      <rPr>
        <b/>
        <sz val="10"/>
        <rFont val="Arial"/>
        <family val="2"/>
      </rPr>
      <t>A home is only GreenPoint Rated if all features are verified by a Certified GreenPoint Rater through Build It Green.</t>
    </r>
    <r>
      <rPr>
        <sz val="10"/>
        <rFont val="Arial"/>
        <family val="2"/>
      </rPr>
      <t xml:space="preserve"> GreenPoint Rated is provided as a public service by Build It Green, a professional non-profit whose mission is to promote healthy, energy and resource efficient buildings in California. 
This checklist is used to track projects seeking a Whole House or Elements Label using the GreenPoint Rated Existing Home Rating System. The minimum requirements for each lable are listed in the project summary at the end of this checklist. Selected measures can be awarded points allocated by the percentage of presence of the measure in the home. The measure or practice must be found in at least 10% of the home to earn points.
</t>
    </r>
    <r>
      <rPr>
        <i/>
        <sz val="10"/>
        <rFont val="Arial"/>
        <family val="2"/>
      </rPr>
      <t>Instructions:</t>
    </r>
    <r>
      <rPr>
        <sz val="10"/>
        <rFont val="Arial"/>
        <family val="2"/>
      </rPr>
      <t xml:space="preserve"> Column A is a dropdown menue with the options of "Yes", "No", or "TBD"  or a range of percentages to allocate points. Select the appropriate dropdown and the apropriate points will appear in the yellow "points acheived" column.
The criteria for the green building practices listed below are described in the GreenPoint Rated Existing Home Rating Manual, available at www.builditgreen.org/greenpointrated  
</t>
    </r>
    <r>
      <rPr>
        <b/>
        <sz val="9"/>
        <rFont val="Arial"/>
        <family val="2"/>
      </rPr>
      <t>GreenPoint Rated Existing Home Checklist Version 2.1.3</t>
    </r>
  </si>
  <si>
    <t xml:space="preserve">     d. Engineered Lumber for Roof Rafters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</si>
</sst>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quot;minimum = &quot;0"/>
    <numFmt numFmtId="169" formatCode="&quot;min. &quot;0"/>
    <numFmt numFmtId="170" formatCode="0."/>
    <numFmt numFmtId="171" formatCode="0.0"/>
    <numFmt numFmtId="172" formatCode="#.#"/>
    <numFmt numFmtId="173" formatCode="#"/>
    <numFmt numFmtId="174" formatCode="_(* #,##0.0_);_(* \(#,##0.0\);_(* &quot;-&quot;??_);_(@_)"/>
    <numFmt numFmtId="175" formatCode="_(* #,##0_);_(* \(#,##0\);_(* &quot;-&quot;??_);_(@_)"/>
    <numFmt numFmtId="176" formatCode="0.000"/>
    <numFmt numFmtId="177" formatCode="mm/dd/yy"/>
    <numFmt numFmtId="178" formatCode="&quot;ENTER     &quot;0"/>
    <numFmt numFmtId="179" formatCode="&quot;ENTER&quot;0"/>
    <numFmt numFmtId="180" formatCode="&quot;$&quot;#,##0"/>
    <numFmt numFmtId="181" formatCode="[$€-2]\ #,##0.00_);[Red]\([$€-2]\ #,##0.00\)"/>
    <numFmt numFmtId="182" formatCode="&quot;$&quot;#,##0.00"/>
    <numFmt numFmtId="183" formatCode="0.0%"/>
  </numFmts>
  <fonts count="84">
    <font>
      <sz val="10"/>
      <name val="Arial"/>
      <family val="0"/>
    </font>
    <font>
      <u val="single"/>
      <sz val="10"/>
      <color indexed="36"/>
      <name val="Arial"/>
      <family val="2"/>
    </font>
    <font>
      <u val="single"/>
      <sz val="10"/>
      <color indexed="12"/>
      <name val="Arial"/>
      <family val="2"/>
    </font>
    <font>
      <sz val="10"/>
      <color indexed="9"/>
      <name val="Arial"/>
      <family val="2"/>
    </font>
    <font>
      <sz val="8"/>
      <name val="Arial"/>
      <family val="2"/>
    </font>
    <font>
      <b/>
      <sz val="14"/>
      <color indexed="9"/>
      <name val="Arial"/>
      <family val="2"/>
    </font>
    <font>
      <b/>
      <sz val="9"/>
      <name val="Arial"/>
      <family val="2"/>
    </font>
    <font>
      <b/>
      <sz val="12"/>
      <color indexed="9"/>
      <name val="Arial"/>
      <family val="2"/>
    </font>
    <font>
      <b/>
      <sz val="11"/>
      <color indexed="9"/>
      <name val="Arial"/>
      <family val="2"/>
    </font>
    <font>
      <sz val="10"/>
      <color indexed="12"/>
      <name val="Arial"/>
      <family val="2"/>
    </font>
    <font>
      <b/>
      <sz val="10"/>
      <name val="Arial"/>
      <family val="2"/>
    </font>
    <font>
      <b/>
      <sz val="10"/>
      <color indexed="10"/>
      <name val="Arial"/>
      <family val="2"/>
    </font>
    <font>
      <sz val="8"/>
      <name val="Tahoma"/>
      <family val="2"/>
    </font>
    <font>
      <b/>
      <sz val="16"/>
      <color indexed="19"/>
      <name val="Arial"/>
      <family val="2"/>
    </font>
    <font>
      <sz val="9"/>
      <color indexed="9"/>
      <name val="Arial"/>
      <family val="2"/>
    </font>
    <font>
      <b/>
      <sz val="10"/>
      <color indexed="16"/>
      <name val="Arial"/>
      <family val="2"/>
    </font>
    <font>
      <sz val="20"/>
      <color indexed="9"/>
      <name val="Arial"/>
      <family val="2"/>
    </font>
    <font>
      <sz val="20"/>
      <name val="Arial"/>
      <family val="2"/>
    </font>
    <font>
      <sz val="8"/>
      <color indexed="63"/>
      <name val="Arial"/>
      <family val="2"/>
    </font>
    <font>
      <b/>
      <sz val="10"/>
      <color indexed="12"/>
      <name val="Arial"/>
      <family val="2"/>
    </font>
    <font>
      <sz val="10"/>
      <color indexed="23"/>
      <name val="Arial"/>
      <family val="2"/>
    </font>
    <font>
      <sz val="9"/>
      <name val="Arial"/>
      <family val="2"/>
    </font>
    <font>
      <sz val="9"/>
      <color indexed="23"/>
      <name val="Arial"/>
      <family val="2"/>
    </font>
    <font>
      <sz val="9"/>
      <color indexed="12"/>
      <name val="Arial"/>
      <family val="2"/>
    </font>
    <font>
      <b/>
      <sz val="9"/>
      <color indexed="23"/>
      <name val="Arial"/>
      <family val="2"/>
    </font>
    <font>
      <b/>
      <sz val="9"/>
      <color indexed="10"/>
      <name val="Arial"/>
      <family val="2"/>
    </font>
    <font>
      <b/>
      <sz val="10"/>
      <color indexed="23"/>
      <name val="Arial"/>
      <family val="2"/>
    </font>
    <font>
      <sz val="10"/>
      <color indexed="63"/>
      <name val="Arial"/>
      <family val="2"/>
    </font>
    <font>
      <b/>
      <sz val="9"/>
      <color indexed="20"/>
      <name val="Arial"/>
      <family val="2"/>
    </font>
    <font>
      <b/>
      <sz val="9"/>
      <color indexed="9"/>
      <name val="Arial"/>
      <family val="2"/>
    </font>
    <font>
      <b/>
      <sz val="9"/>
      <color indexed="63"/>
      <name val="Arial"/>
      <family val="2"/>
    </font>
    <font>
      <sz val="9"/>
      <color indexed="55"/>
      <name val="Arial"/>
      <family val="2"/>
    </font>
    <font>
      <sz val="9"/>
      <color indexed="10"/>
      <name val="Arial"/>
      <family val="2"/>
    </font>
    <font>
      <b/>
      <i/>
      <sz val="9"/>
      <name val="Arial"/>
      <family val="2"/>
    </font>
    <font>
      <strike/>
      <sz val="9"/>
      <color indexed="23"/>
      <name val="Arial"/>
      <family val="2"/>
    </font>
    <font>
      <i/>
      <sz val="10"/>
      <name val="Arial"/>
      <family val="2"/>
    </font>
    <font>
      <i/>
      <sz val="10"/>
      <color indexed="10"/>
      <name val="Arial"/>
      <family val="2"/>
    </font>
    <font>
      <sz val="10"/>
      <color indexed="10"/>
      <name val="Arial"/>
      <family val="2"/>
    </font>
    <font>
      <b/>
      <sz val="9"/>
      <color indexed="10"/>
      <name val="Arial Narrow"/>
      <family val="2"/>
    </font>
    <font>
      <sz val="10"/>
      <name val="Arial Narrow"/>
      <family val="2"/>
    </font>
    <font>
      <sz val="9"/>
      <color indexed="8"/>
      <name val="Arial Narrow"/>
      <family val="2"/>
    </font>
    <font>
      <i/>
      <sz val="10"/>
      <color indexed="22"/>
      <name val="Arial"/>
      <family val="2"/>
    </font>
    <font>
      <b/>
      <sz val="14"/>
      <name val="Arial"/>
      <family val="2"/>
    </font>
    <font>
      <sz val="9"/>
      <color indexed="8"/>
      <name val="Arial"/>
      <family val="2"/>
    </font>
    <font>
      <b/>
      <sz val="9"/>
      <color indexed="48"/>
      <name val="Arial"/>
      <family val="2"/>
    </font>
    <font>
      <sz val="10"/>
      <color indexed="8"/>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b/>
      <sz val="9"/>
      <color indexed="57"/>
      <name val="Arial"/>
      <family val="2"/>
    </font>
    <font>
      <b/>
      <sz val="10"/>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0" tint="-0.24997000396251678"/>
      <name val="Arial"/>
      <family val="2"/>
    </font>
    <font>
      <b/>
      <sz val="9"/>
      <color rgb="FF448A46"/>
      <name val="Arial"/>
      <family val="2"/>
    </font>
    <font>
      <b/>
      <sz val="9"/>
      <color rgb="FFC00000"/>
      <name val="Arial"/>
      <family val="2"/>
    </font>
    <font>
      <i/>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3"/>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color indexed="22"/>
      </left>
      <right style="thin">
        <color indexed="22"/>
      </right>
      <top style="thin">
        <color indexed="23"/>
      </top>
      <bottom style="thin">
        <color indexed="23"/>
      </bottom>
    </border>
    <border>
      <left>
        <color indexed="63"/>
      </left>
      <right style="thin">
        <color indexed="22"/>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2"/>
      </right>
      <top style="thin">
        <color indexed="2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22"/>
      </left>
      <right style="thin">
        <color indexed="23"/>
      </right>
      <top style="thin">
        <color indexed="23"/>
      </top>
      <bottom style="thin">
        <color indexed="2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2"/>
      </right>
      <top style="thin">
        <color indexed="23"/>
      </top>
      <bottom>
        <color indexed="63"/>
      </bottom>
    </border>
    <border>
      <left style="thin">
        <color indexed="22"/>
      </left>
      <right style="thin">
        <color indexed="22"/>
      </right>
      <top style="thin">
        <color indexed="23"/>
      </top>
      <bottom>
        <color indexed="63"/>
      </bottom>
    </border>
    <border>
      <left style="thin">
        <color indexed="22"/>
      </left>
      <right style="thin">
        <color indexed="23"/>
      </right>
      <top style="thin">
        <color indexed="23"/>
      </top>
      <bottom>
        <color indexed="63"/>
      </bottom>
    </border>
    <border>
      <left>
        <color indexed="63"/>
      </left>
      <right style="thin">
        <color indexed="9"/>
      </right>
      <top style="thin">
        <color indexed="23"/>
      </top>
      <bottom style="thin">
        <color indexed="23"/>
      </bottom>
    </border>
    <border>
      <left style="thin">
        <color indexed="9"/>
      </left>
      <right style="thin">
        <color indexed="9"/>
      </right>
      <top style="thin">
        <color indexed="23"/>
      </top>
      <bottom style="thin">
        <color indexed="23"/>
      </bottom>
    </border>
    <border>
      <left style="thin">
        <color indexed="9"/>
      </left>
      <right style="thin">
        <color indexed="23"/>
      </right>
      <top style="thin">
        <color indexed="23"/>
      </top>
      <bottom style="thin">
        <color indexed="23"/>
      </bottom>
    </border>
    <border>
      <left style="thin"/>
      <right>
        <color indexed="63"/>
      </right>
      <top>
        <color indexed="63"/>
      </top>
      <bottom style="thin">
        <color indexed="23"/>
      </bottom>
    </border>
    <border>
      <left style="thin"/>
      <right>
        <color indexed="63"/>
      </right>
      <top style="thin">
        <color indexed="23"/>
      </top>
      <bottom style="thin">
        <color indexed="2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thin">
        <color indexed="23"/>
      </bottom>
    </border>
    <border>
      <left style="thin">
        <color indexed="23"/>
      </left>
      <right>
        <color indexed="63"/>
      </right>
      <top style="thin"/>
      <bottom style="thin"/>
    </border>
    <border>
      <left style="thin">
        <color indexed="23"/>
      </left>
      <right>
        <color indexed="63"/>
      </right>
      <top style="thin"/>
      <bottom>
        <color indexed="63"/>
      </bottom>
    </border>
    <border>
      <left style="thin">
        <color indexed="23"/>
      </left>
      <right>
        <color indexed="63"/>
      </right>
      <top>
        <color indexed="63"/>
      </top>
      <bottom style="thin"/>
    </border>
    <border>
      <left>
        <color indexed="63"/>
      </left>
      <right>
        <color indexed="63"/>
      </right>
      <top style="thin">
        <color indexed="23"/>
      </top>
      <bottom style="thin"/>
    </border>
    <border>
      <left style="thin">
        <color indexed="9"/>
      </left>
      <right/>
      <top style="thin">
        <color indexed="23"/>
      </top>
      <bottom style="thin">
        <color indexed="9"/>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93">
    <xf numFmtId="0" fontId="0" fillId="0" borderId="0" xfId="0" applyAlignment="1">
      <alignment/>
    </xf>
    <xf numFmtId="0" fontId="0" fillId="0" borderId="0" xfId="0" applyNumberFormat="1" applyFont="1" applyFill="1" applyBorder="1" applyAlignment="1" applyProtection="1">
      <alignment horizontal="left" vertical="center"/>
      <protection hidden="1"/>
    </xf>
    <xf numFmtId="0" fontId="6" fillId="33" borderId="10" xfId="0" applyNumberFormat="1" applyFont="1" applyFill="1" applyBorder="1" applyAlignment="1" applyProtection="1">
      <alignment horizontal="center" textRotation="90" wrapText="1"/>
      <protection hidden="1"/>
    </xf>
    <xf numFmtId="0" fontId="6" fillId="33" borderId="11" xfId="0" applyNumberFormat="1" applyFont="1" applyFill="1" applyBorder="1" applyAlignment="1" applyProtection="1">
      <alignment textRotation="90" wrapText="1"/>
      <protection hidden="1"/>
    </xf>
    <xf numFmtId="0" fontId="3" fillId="34" borderId="12" xfId="0" applyNumberFormat="1" applyFont="1" applyFill="1" applyBorder="1" applyAlignment="1" applyProtection="1">
      <alignment/>
      <protection hidden="1"/>
    </xf>
    <xf numFmtId="0" fontId="9" fillId="0" borderId="0" xfId="0" applyNumberFormat="1" applyFont="1" applyAlignment="1" applyProtection="1">
      <alignment horizontal="left"/>
      <protection/>
    </xf>
    <xf numFmtId="0" fontId="5" fillId="34" borderId="13" xfId="0" applyNumberFormat="1" applyFont="1" applyFill="1" applyBorder="1" applyAlignment="1" applyProtection="1">
      <alignment/>
      <protection/>
    </xf>
    <xf numFmtId="0" fontId="8" fillId="35"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hidden="1"/>
    </xf>
    <xf numFmtId="0" fontId="7" fillId="34" borderId="0" xfId="0" applyNumberFormat="1" applyFont="1" applyFill="1" applyBorder="1" applyAlignment="1" applyProtection="1">
      <alignment horizontal="right"/>
      <protection hidden="1"/>
    </xf>
    <xf numFmtId="0" fontId="9" fillId="0" borderId="0" xfId="0" applyNumberFormat="1" applyFont="1" applyFill="1" applyBorder="1" applyAlignment="1" applyProtection="1">
      <alignment horizontal="left" vertical="center"/>
      <protection hidden="1"/>
    </xf>
    <xf numFmtId="0" fontId="22" fillId="0" borderId="14" xfId="0" applyNumberFormat="1" applyFont="1" applyFill="1" applyBorder="1" applyAlignment="1" applyProtection="1">
      <alignment horizontal="center" vertical="center"/>
      <protection hidden="1"/>
    </xf>
    <xf numFmtId="0" fontId="22" fillId="0" borderId="12" xfId="0" applyNumberFormat="1" applyFont="1" applyFill="1" applyBorder="1" applyAlignment="1" applyProtection="1">
      <alignment horizontal="center" vertical="center"/>
      <protection hidden="1"/>
    </xf>
    <xf numFmtId="0" fontId="22" fillId="0" borderId="15" xfId="0" applyNumberFormat="1" applyFont="1" applyFill="1" applyBorder="1" applyAlignment="1" applyProtection="1">
      <alignment horizontal="center" vertical="center"/>
      <protection hidden="1"/>
    </xf>
    <xf numFmtId="0" fontId="22" fillId="0" borderId="16" xfId="0" applyNumberFormat="1" applyFont="1" applyFill="1" applyBorder="1" applyAlignment="1" applyProtection="1">
      <alignment horizontal="center" vertical="center" wrapText="1"/>
      <protection hidden="1"/>
    </xf>
    <xf numFmtId="0" fontId="25" fillId="0" borderId="11" xfId="0" applyNumberFormat="1" applyFont="1" applyFill="1" applyBorder="1" applyAlignment="1" applyProtection="1">
      <alignment horizontal="center" vertical="center" wrapText="1"/>
      <protection hidden="1"/>
    </xf>
    <xf numFmtId="0" fontId="22" fillId="0" borderId="11" xfId="0" applyNumberFormat="1" applyFont="1" applyFill="1" applyBorder="1" applyAlignment="1" applyProtection="1">
      <alignment horizontal="center" vertical="center" wrapText="1"/>
      <protection hidden="1"/>
    </xf>
    <xf numFmtId="0" fontId="20" fillId="0" borderId="0" xfId="0" applyNumberFormat="1" applyFont="1" applyFill="1" applyBorder="1" applyAlignment="1" applyProtection="1">
      <alignment horizontal="center" vertical="center" wrapText="1"/>
      <protection hidden="1"/>
    </xf>
    <xf numFmtId="0" fontId="22" fillId="0" borderId="11" xfId="0" applyNumberFormat="1" applyFont="1" applyBorder="1" applyAlignment="1" applyProtection="1">
      <alignment horizontal="center" vertical="center" wrapText="1"/>
      <protection/>
    </xf>
    <xf numFmtId="0" fontId="22" fillId="0" borderId="16" xfId="0" applyNumberFormat="1" applyFont="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protection hidden="1"/>
    </xf>
    <xf numFmtId="0" fontId="20" fillId="0" borderId="12" xfId="0" applyNumberFormat="1" applyFont="1" applyFill="1" applyBorder="1" applyAlignment="1" applyProtection="1">
      <alignment horizontal="center" vertical="center" wrapText="1"/>
      <protection hidden="1"/>
    </xf>
    <xf numFmtId="0" fontId="0" fillId="0" borderId="12" xfId="0" applyNumberFormat="1" applyFont="1" applyFill="1" applyBorder="1" applyAlignment="1" applyProtection="1">
      <alignment horizontal="center" wrapText="1"/>
      <protection/>
    </xf>
    <xf numFmtId="0" fontId="31" fillId="0" borderId="11" xfId="0" applyNumberFormat="1" applyFont="1" applyFill="1" applyBorder="1" applyAlignment="1" applyProtection="1">
      <alignment horizontal="center" vertical="center" wrapText="1"/>
      <protection hidden="1"/>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hidden="1"/>
    </xf>
    <xf numFmtId="0" fontId="22" fillId="0" borderId="18" xfId="0" applyNumberFormat="1" applyFont="1" applyFill="1" applyBorder="1" applyAlignment="1" applyProtection="1">
      <alignment horizontal="center" vertical="center" wrapText="1"/>
      <protection hidden="1"/>
    </xf>
    <xf numFmtId="0" fontId="20" fillId="0" borderId="19" xfId="0" applyNumberFormat="1" applyFont="1" applyFill="1" applyBorder="1" applyAlignment="1" applyProtection="1">
      <alignment horizontal="center" vertical="center" wrapText="1"/>
      <protection hidden="1"/>
    </xf>
    <xf numFmtId="0" fontId="20" fillId="0" borderId="13" xfId="0" applyNumberFormat="1" applyFont="1" applyFill="1" applyBorder="1" applyAlignment="1" applyProtection="1">
      <alignment horizontal="center" vertical="center" wrapText="1"/>
      <protection hidden="1"/>
    </xf>
    <xf numFmtId="0" fontId="22" fillId="0" borderId="13" xfId="0" applyNumberFormat="1" applyFont="1" applyFill="1" applyBorder="1" applyAlignment="1" applyProtection="1">
      <alignment horizontal="center" vertical="center" wrapText="1"/>
      <protection hidden="1"/>
    </xf>
    <xf numFmtId="0" fontId="20" fillId="0" borderId="10" xfId="0" applyNumberFormat="1" applyFont="1" applyFill="1" applyBorder="1" applyAlignment="1" applyProtection="1">
      <alignment horizontal="center" vertical="center" wrapText="1"/>
      <protection hidden="1"/>
    </xf>
    <xf numFmtId="0" fontId="24" fillId="0" borderId="11" xfId="0" applyNumberFormat="1" applyFont="1" applyFill="1" applyBorder="1" applyAlignment="1" applyProtection="1">
      <alignment horizontal="center" vertical="center" wrapText="1"/>
      <protection hidden="1"/>
    </xf>
    <xf numFmtId="0" fontId="34" fillId="0" borderId="11" xfId="0" applyNumberFormat="1" applyFont="1" applyFill="1" applyBorder="1" applyAlignment="1" applyProtection="1">
      <alignment horizontal="center" vertical="center" wrapText="1"/>
      <protection hidden="1"/>
    </xf>
    <xf numFmtId="0" fontId="21" fillId="0" borderId="0" xfId="0" applyFont="1" applyFill="1" applyBorder="1" applyAlignment="1" applyProtection="1">
      <alignment horizontal="right"/>
      <protection hidden="1"/>
    </xf>
    <xf numFmtId="1" fontId="21" fillId="0" borderId="0" xfId="0" applyNumberFormat="1" applyFont="1" applyFill="1" applyBorder="1" applyAlignment="1" applyProtection="1">
      <alignment horizontal="center"/>
      <protection hidden="1"/>
    </xf>
    <xf numFmtId="1" fontId="21" fillId="0" borderId="11" xfId="0" applyNumberFormat="1" applyFont="1" applyFill="1" applyBorder="1" applyAlignment="1" applyProtection="1">
      <alignment horizontal="center" vertical="center" wrapText="1"/>
      <protection hidden="1"/>
    </xf>
    <xf numFmtId="1" fontId="21" fillId="0" borderId="20" xfId="0" applyNumberFormat="1" applyFont="1" applyFill="1" applyBorder="1" applyAlignment="1" applyProtection="1">
      <alignment horizontal="center" vertical="center" wrapText="1"/>
      <protection hidden="1"/>
    </xf>
    <xf numFmtId="0" fontId="35" fillId="0" borderId="0" xfId="0" applyNumberFormat="1" applyFont="1" applyFill="1" applyBorder="1" applyAlignment="1" applyProtection="1">
      <alignment horizontal="left" vertical="top"/>
      <protection/>
    </xf>
    <xf numFmtId="0" fontId="13" fillId="0" borderId="21" xfId="0" applyNumberFormat="1" applyFont="1" applyFill="1" applyBorder="1" applyAlignment="1" applyProtection="1">
      <alignment horizontal="left" vertical="center"/>
      <protection hidden="1"/>
    </xf>
    <xf numFmtId="0" fontId="0" fillId="0" borderId="0" xfId="0" applyNumberFormat="1" applyFont="1" applyBorder="1" applyAlignment="1" applyProtection="1">
      <alignment wrapText="1"/>
      <protection hidden="1"/>
    </xf>
    <xf numFmtId="0" fontId="0" fillId="35" borderId="0" xfId="0" applyNumberFormat="1" applyFont="1" applyFill="1" applyBorder="1" applyAlignment="1" applyProtection="1">
      <alignment/>
      <protection hidden="1"/>
    </xf>
    <xf numFmtId="0" fontId="0" fillId="35" borderId="0" xfId="0" applyNumberFormat="1" applyFont="1" applyFill="1" applyAlignment="1" applyProtection="1">
      <alignment/>
      <protection hidden="1"/>
    </xf>
    <xf numFmtId="0" fontId="4" fillId="0" borderId="22" xfId="0" applyNumberFormat="1" applyFont="1" applyFill="1" applyBorder="1" applyAlignment="1" applyProtection="1">
      <alignment horizontal="centerContinuous" vertical="center" wrapText="1"/>
      <protection hidden="1"/>
    </xf>
    <xf numFmtId="0" fontId="14" fillId="0" borderId="23" xfId="0" applyNumberFormat="1" applyFont="1" applyFill="1" applyBorder="1" applyAlignment="1" applyProtection="1">
      <alignment horizontal="centerContinuous" vertical="center" wrapText="1"/>
      <protection hidden="1"/>
    </xf>
    <xf numFmtId="0" fontId="9" fillId="0" borderId="0" xfId="0" applyNumberFormat="1" applyFont="1" applyAlignment="1" applyProtection="1">
      <alignment/>
      <protection hidden="1"/>
    </xf>
    <xf numFmtId="0" fontId="0" fillId="0" borderId="0" xfId="0" applyNumberFormat="1" applyFont="1" applyAlignment="1" applyProtection="1">
      <alignment wrapText="1"/>
      <protection hidden="1"/>
    </xf>
    <xf numFmtId="0" fontId="0" fillId="0" borderId="0" xfId="0" applyNumberFormat="1" applyFont="1" applyBorder="1" applyAlignment="1" applyProtection="1">
      <alignment horizontal="left" wrapText="1"/>
      <protection hidden="1"/>
    </xf>
    <xf numFmtId="0" fontId="0" fillId="0" borderId="0" xfId="0" applyNumberFormat="1" applyFont="1" applyFill="1" applyAlignment="1" applyProtection="1">
      <alignment wrapText="1"/>
      <protection hidden="1"/>
    </xf>
    <xf numFmtId="0" fontId="0" fillId="35" borderId="0" xfId="0" applyNumberFormat="1" applyFont="1" applyFill="1" applyAlignment="1" applyProtection="1">
      <alignment horizontal="center" wrapText="1"/>
      <protection hidden="1"/>
    </xf>
    <xf numFmtId="0" fontId="9"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Border="1" applyAlignment="1" applyProtection="1">
      <alignment horizontal="left" vertical="center" wrapText="1"/>
      <protection hidden="1"/>
    </xf>
    <xf numFmtId="0" fontId="18" fillId="0" borderId="18" xfId="0" applyNumberFormat="1" applyFont="1" applyFill="1" applyBorder="1" applyAlignment="1" applyProtection="1">
      <alignment horizontal="center" vertical="justify" textRotation="90" wrapText="1"/>
      <protection hidden="1"/>
    </xf>
    <xf numFmtId="0" fontId="0" fillId="0" borderId="0" xfId="0" applyNumberFormat="1" applyFont="1" applyAlignment="1" applyProtection="1">
      <alignment/>
      <protection/>
    </xf>
    <xf numFmtId="0" fontId="0" fillId="0" borderId="0" xfId="0" applyNumberFormat="1" applyFont="1" applyAlignment="1" applyProtection="1">
      <alignment wrapText="1"/>
      <protection/>
    </xf>
    <xf numFmtId="0" fontId="0" fillId="0" borderId="0" xfId="0" applyNumberFormat="1" applyFont="1" applyBorder="1" applyAlignment="1" applyProtection="1">
      <alignment wrapText="1"/>
      <protection/>
    </xf>
    <xf numFmtId="0" fontId="10" fillId="36" borderId="11" xfId="0" applyNumberFormat="1" applyFont="1" applyFill="1" applyBorder="1" applyAlignment="1" applyProtection="1">
      <alignment vertical="top"/>
      <protection hidden="1"/>
    </xf>
    <xf numFmtId="0" fontId="10" fillId="36" borderId="12" xfId="0" applyNumberFormat="1" applyFont="1" applyFill="1" applyBorder="1" applyAlignment="1" applyProtection="1">
      <alignment vertical="top"/>
      <protection hidden="1"/>
    </xf>
    <xf numFmtId="0" fontId="10" fillId="36" borderId="12" xfId="0" applyNumberFormat="1" applyFont="1" applyFill="1" applyBorder="1" applyAlignment="1" applyProtection="1">
      <alignment horizontal="center" vertical="top"/>
      <protection hidden="1"/>
    </xf>
    <xf numFmtId="0" fontId="0" fillId="36" borderId="16" xfId="0" applyNumberFormat="1" applyFont="1" applyFill="1" applyBorder="1" applyAlignment="1" applyProtection="1">
      <alignment wrapText="1"/>
      <protection/>
    </xf>
    <xf numFmtId="0" fontId="9" fillId="0" borderId="0" xfId="0" applyNumberFormat="1" applyFont="1" applyAlignment="1" applyProtection="1">
      <alignment wrapText="1"/>
      <protection/>
    </xf>
    <xf numFmtId="0" fontId="19" fillId="0" borderId="0" xfId="0" applyNumberFormat="1" applyFont="1" applyAlignment="1" applyProtection="1">
      <alignment horizontal="right"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wrapText="1"/>
      <protection/>
    </xf>
    <xf numFmtId="0" fontId="9" fillId="0" borderId="0" xfId="0" applyNumberFormat="1" applyFont="1" applyAlignment="1" applyProtection="1">
      <alignment horizontal="right" wrapText="1"/>
      <protection/>
    </xf>
    <xf numFmtId="0" fontId="9" fillId="0" borderId="0" xfId="0" applyNumberFormat="1" applyFont="1" applyFill="1" applyAlignment="1" applyProtection="1">
      <alignment wrapText="1"/>
      <protection/>
    </xf>
    <xf numFmtId="0" fontId="0" fillId="0" borderId="0" xfId="0" applyNumberFormat="1" applyFont="1" applyFill="1" applyAlignment="1" applyProtection="1">
      <alignment wrapText="1"/>
      <protection/>
    </xf>
    <xf numFmtId="0" fontId="0" fillId="0"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wrapText="1"/>
      <protection/>
    </xf>
    <xf numFmtId="0" fontId="21" fillId="33" borderId="11" xfId="0" applyNumberFormat="1" applyFont="1" applyFill="1" applyBorder="1" applyAlignment="1" applyProtection="1">
      <alignment horizontal="center" vertical="center"/>
      <protection/>
    </xf>
    <xf numFmtId="0" fontId="22" fillId="0" borderId="24" xfId="0" applyNumberFormat="1" applyFont="1" applyFill="1" applyBorder="1" applyAlignment="1" applyProtection="1">
      <alignment horizontal="center" vertical="center"/>
      <protection hidden="1"/>
    </xf>
    <xf numFmtId="0" fontId="0" fillId="0" borderId="25" xfId="0" applyNumberFormat="1" applyFont="1" applyFill="1" applyBorder="1" applyAlignment="1" applyProtection="1">
      <alignment wrapText="1"/>
      <protection/>
    </xf>
    <xf numFmtId="0" fontId="0" fillId="0" borderId="25" xfId="0" applyNumberFormat="1" applyFont="1" applyFill="1" applyBorder="1" applyAlignment="1" applyProtection="1">
      <alignment horizontal="center" wrapText="1"/>
      <protection/>
    </xf>
    <xf numFmtId="0" fontId="0" fillId="0" borderId="26" xfId="0" applyNumberFormat="1" applyFont="1" applyBorder="1" applyAlignment="1" applyProtection="1">
      <alignment wrapText="1"/>
      <protection/>
    </xf>
    <xf numFmtId="0" fontId="0" fillId="0" borderId="10" xfId="0" applyNumberFormat="1" applyFont="1" applyBorder="1" applyAlignment="1" applyProtection="1">
      <alignment wrapText="1"/>
      <protection/>
    </xf>
    <xf numFmtId="0" fontId="0" fillId="0" borderId="10" xfId="0" applyNumberFormat="1" applyFont="1" applyBorder="1" applyAlignment="1" applyProtection="1">
      <alignment horizontal="center" wrapText="1"/>
      <protection/>
    </xf>
    <xf numFmtId="0" fontId="22" fillId="0" borderId="16"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right" wrapText="1"/>
      <protection/>
    </xf>
    <xf numFmtId="0" fontId="0" fillId="0" borderId="0" xfId="0" applyNumberFormat="1" applyFont="1" applyBorder="1" applyAlignment="1" applyProtection="1">
      <alignment horizontal="center" wrapText="1"/>
      <protection/>
    </xf>
    <xf numFmtId="0" fontId="0" fillId="0" borderId="0" xfId="0" applyNumberFormat="1" applyFont="1" applyAlignment="1" applyProtection="1">
      <alignment horizontal="right" wrapText="1"/>
      <protection/>
    </xf>
    <xf numFmtId="0" fontId="21" fillId="33" borderId="2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center" vertical="center"/>
      <protection hidden="1"/>
    </xf>
    <xf numFmtId="0" fontId="22" fillId="0" borderId="19" xfId="0" applyNumberFormat="1" applyFont="1" applyFill="1" applyBorder="1" applyAlignment="1" applyProtection="1">
      <alignment horizontal="center" vertical="center"/>
      <protection hidden="1"/>
    </xf>
    <xf numFmtId="0" fontId="0" fillId="0" borderId="0" xfId="0" applyNumberFormat="1" applyFont="1" applyAlignment="1" applyProtection="1">
      <alignment horizontal="left" wrapText="1"/>
      <protection/>
    </xf>
    <xf numFmtId="0" fontId="21" fillId="33" borderId="27"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hidden="1"/>
    </xf>
    <xf numFmtId="0" fontId="22" fillId="0" borderId="28" xfId="0" applyNumberFormat="1" applyFont="1" applyFill="1" applyBorder="1" applyAlignment="1" applyProtection="1">
      <alignment horizontal="center" vertical="center"/>
      <protection hidden="1"/>
    </xf>
    <xf numFmtId="0" fontId="21" fillId="33" borderId="18" xfId="0" applyNumberFormat="1" applyFont="1" applyFill="1" applyBorder="1" applyAlignment="1" applyProtection="1">
      <alignment horizontal="center" vertical="center"/>
      <protection/>
    </xf>
    <xf numFmtId="0" fontId="22" fillId="0" borderId="25" xfId="0" applyNumberFormat="1" applyFont="1" applyFill="1" applyBorder="1" applyAlignment="1" applyProtection="1">
      <alignment horizontal="center" vertical="center"/>
      <protection hidden="1"/>
    </xf>
    <xf numFmtId="0" fontId="22" fillId="0" borderId="29" xfId="0" applyNumberFormat="1" applyFont="1" applyFill="1" applyBorder="1" applyAlignment="1" applyProtection="1">
      <alignment horizontal="center" vertical="center"/>
      <protection hidden="1"/>
    </xf>
    <xf numFmtId="0" fontId="23" fillId="0" borderId="30" xfId="0" applyNumberFormat="1" applyFont="1" applyFill="1" applyBorder="1" applyAlignment="1" applyProtection="1">
      <alignment horizontal="center" vertical="center"/>
      <protection hidden="1"/>
    </xf>
    <xf numFmtId="0" fontId="23" fillId="0" borderId="26" xfId="0" applyNumberFormat="1" applyFont="1" applyFill="1" applyBorder="1" applyAlignment="1" applyProtection="1">
      <alignment horizontal="center" vertical="center"/>
      <protection hidden="1"/>
    </xf>
    <xf numFmtId="0" fontId="0" fillId="0" borderId="31" xfId="0" applyNumberFormat="1" applyFont="1" applyBorder="1" applyAlignment="1" applyProtection="1">
      <alignment wrapText="1"/>
      <protection/>
    </xf>
    <xf numFmtId="0" fontId="0" fillId="0" borderId="25" xfId="0" applyNumberFormat="1" applyFont="1" applyBorder="1" applyAlignment="1" applyProtection="1">
      <alignment wrapText="1"/>
      <protection/>
    </xf>
    <xf numFmtId="0" fontId="0" fillId="0" borderId="25" xfId="0" applyNumberFormat="1" applyFont="1" applyBorder="1" applyAlignment="1" applyProtection="1">
      <alignment horizontal="center" wrapText="1"/>
      <protection/>
    </xf>
    <xf numFmtId="0" fontId="23" fillId="0" borderId="31" xfId="0" applyNumberFormat="1" applyFont="1" applyFill="1" applyBorder="1" applyAlignment="1" applyProtection="1">
      <alignment horizontal="center" vertical="center"/>
      <protection hidden="1"/>
    </xf>
    <xf numFmtId="0" fontId="0" fillId="0" borderId="0" xfId="0" applyNumberFormat="1" applyFont="1" applyFill="1" applyAlignment="1" applyProtection="1">
      <alignment/>
      <protection/>
    </xf>
    <xf numFmtId="0" fontId="22" fillId="0" borderId="32" xfId="0" applyNumberFormat="1" applyFont="1" applyFill="1" applyBorder="1" applyAlignment="1" applyProtection="1">
      <alignment horizontal="center" vertical="center"/>
      <protection hidden="1"/>
    </xf>
    <xf numFmtId="0" fontId="22" fillId="0" borderId="33" xfId="0" applyNumberFormat="1" applyFont="1" applyFill="1" applyBorder="1" applyAlignment="1" applyProtection="1">
      <alignment horizontal="center" vertical="center"/>
      <protection hidden="1"/>
    </xf>
    <xf numFmtId="0" fontId="22" fillId="0" borderId="34" xfId="0" applyNumberFormat="1" applyFont="1" applyFill="1" applyBorder="1" applyAlignment="1" applyProtection="1">
      <alignment horizontal="center" vertical="center"/>
      <protection hidden="1"/>
    </xf>
    <xf numFmtId="0" fontId="21" fillId="0" borderId="0"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center" vertical="center"/>
      <protection/>
    </xf>
    <xf numFmtId="0" fontId="0" fillId="36" borderId="12" xfId="0" applyNumberFormat="1" applyFont="1" applyFill="1" applyBorder="1" applyAlignment="1" applyProtection="1">
      <alignment wrapText="1"/>
      <protection/>
    </xf>
    <xf numFmtId="0" fontId="0" fillId="36" borderId="12" xfId="0" applyNumberFormat="1" applyFont="1" applyFill="1" applyBorder="1" applyAlignment="1" applyProtection="1">
      <alignment horizontal="center" wrapText="1"/>
      <protection/>
    </xf>
    <xf numFmtId="0" fontId="24" fillId="0" borderId="16" xfId="0" applyNumberFormat="1" applyFont="1" applyFill="1" applyBorder="1" applyAlignment="1" applyProtection="1">
      <alignment horizontal="center" vertical="center" wrapText="1"/>
      <protection hidden="1"/>
    </xf>
    <xf numFmtId="0" fontId="24" fillId="0" borderId="16"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wrapText="1"/>
      <protection/>
    </xf>
    <xf numFmtId="0" fontId="21" fillId="0" borderId="29" xfId="0" applyNumberFormat="1" applyFont="1" applyFill="1" applyBorder="1" applyAlignment="1" applyProtection="1">
      <alignment horizontal="right" vertical="top"/>
      <protection hidden="1"/>
    </xf>
    <xf numFmtId="0" fontId="20" fillId="0" borderId="28" xfId="0" applyNumberFormat="1" applyFont="1" applyFill="1" applyBorder="1" applyAlignment="1" applyProtection="1">
      <alignment horizontal="center" vertical="center" wrapText="1"/>
      <protection hidden="1"/>
    </xf>
    <xf numFmtId="0" fontId="0" fillId="35" borderId="0" xfId="0" applyNumberFormat="1" applyFont="1" applyFill="1" applyAlignment="1" applyProtection="1">
      <alignment wrapText="1"/>
      <protection/>
    </xf>
    <xf numFmtId="0" fontId="26" fillId="0" borderId="12" xfId="0" applyNumberFormat="1" applyFont="1" applyFill="1" applyBorder="1" applyAlignment="1" applyProtection="1">
      <alignment horizontal="center" vertical="center" wrapText="1"/>
      <protection hidden="1"/>
    </xf>
    <xf numFmtId="0" fontId="26" fillId="0" borderId="16" xfId="0" applyNumberFormat="1" applyFont="1" applyFill="1" applyBorder="1" applyAlignment="1" applyProtection="1">
      <alignment horizontal="center" vertical="center" wrapText="1"/>
      <protection hidden="1"/>
    </xf>
    <xf numFmtId="0" fontId="27" fillId="0" borderId="0" xfId="0" applyNumberFormat="1" applyFont="1" applyBorder="1" applyAlignment="1" applyProtection="1">
      <alignment wrapText="1"/>
      <protection/>
    </xf>
    <xf numFmtId="0" fontId="21" fillId="0" borderId="16" xfId="0" applyNumberFormat="1" applyFont="1" applyFill="1" applyBorder="1" applyAlignment="1" applyProtection="1">
      <alignment horizontal="right" vertical="center"/>
      <protection hidden="1"/>
    </xf>
    <xf numFmtId="0" fontId="20" fillId="0" borderId="16"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wrapText="1"/>
      <protection/>
    </xf>
    <xf numFmtId="0" fontId="29" fillId="0" borderId="25" xfId="0" applyNumberFormat="1" applyFont="1" applyFill="1" applyBorder="1" applyAlignment="1" applyProtection="1">
      <alignment horizontal="center" vertical="center" wrapText="1"/>
      <protection hidden="1"/>
    </xf>
    <xf numFmtId="0" fontId="29" fillId="0" borderId="29"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alignment horizontal="center" wrapText="1"/>
      <protection/>
    </xf>
    <xf numFmtId="0" fontId="30" fillId="0" borderId="12" xfId="0" applyNumberFormat="1" applyFont="1" applyFill="1" applyBorder="1" applyAlignment="1" applyProtection="1">
      <alignment horizontal="center" vertical="center" wrapText="1"/>
      <protection hidden="1"/>
    </xf>
    <xf numFmtId="0" fontId="30" fillId="0" borderId="16" xfId="0" applyNumberFormat="1" applyFont="1" applyFill="1" applyBorder="1" applyAlignment="1" applyProtection="1">
      <alignment horizontal="center" vertical="center" wrapText="1"/>
      <protection hidden="1"/>
    </xf>
    <xf numFmtId="0" fontId="22" fillId="0" borderId="13"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vertical="center" wrapText="1"/>
      <protection/>
    </xf>
    <xf numFmtId="0" fontId="31" fillId="0" borderId="16" xfId="0" applyNumberFormat="1" applyFont="1" applyFill="1" applyBorder="1" applyAlignment="1" applyProtection="1">
      <alignment horizontal="center" vertical="center" wrapText="1"/>
      <protection hidden="1"/>
    </xf>
    <xf numFmtId="0" fontId="21" fillId="0" borderId="0" xfId="0" applyNumberFormat="1" applyFont="1" applyFill="1" applyBorder="1" applyAlignment="1" applyProtection="1">
      <alignment horizontal="right" vertical="center"/>
      <protection hidden="1"/>
    </xf>
    <xf numFmtId="0" fontId="26" fillId="0" borderId="0" xfId="0" applyNumberFormat="1" applyFont="1" applyFill="1" applyBorder="1" applyAlignment="1" applyProtection="1">
      <alignment horizontal="center" vertical="center" wrapText="1"/>
      <protection hidden="1"/>
    </xf>
    <xf numFmtId="0" fontId="26" fillId="0" borderId="28" xfId="0" applyNumberFormat="1" applyFont="1" applyFill="1" applyBorder="1" applyAlignment="1" applyProtection="1">
      <alignment horizontal="center" vertical="center" wrapText="1"/>
      <protection hidden="1"/>
    </xf>
    <xf numFmtId="0" fontId="21" fillId="35" borderId="0" xfId="0" applyNumberFormat="1" applyFont="1" applyFill="1" applyBorder="1" applyAlignment="1" applyProtection="1">
      <alignment horizontal="center" vertical="center" wrapText="1"/>
      <protection/>
    </xf>
    <xf numFmtId="0" fontId="21" fillId="35" borderId="28"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1" fillId="0" borderId="28" xfId="0" applyNumberFormat="1" applyFont="1" applyFill="1" applyBorder="1" applyAlignment="1" applyProtection="1">
      <alignment horizontal="left" vertical="center" indent="1"/>
      <protection hidden="1"/>
    </xf>
    <xf numFmtId="0" fontId="21" fillId="0" borderId="29" xfId="0" applyNumberFormat="1" applyFont="1" applyFill="1" applyBorder="1" applyAlignment="1" applyProtection="1">
      <alignment horizontal="left" vertical="center" indent="1"/>
      <protection hidden="1"/>
    </xf>
    <xf numFmtId="0" fontId="21" fillId="0" borderId="28" xfId="0" applyNumberFormat="1" applyFont="1" applyFill="1" applyBorder="1" applyAlignment="1" applyProtection="1">
      <alignment horizontal="right" vertical="center"/>
      <protection hidden="1"/>
    </xf>
    <xf numFmtId="0" fontId="6" fillId="33" borderId="2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wrapText="1"/>
      <protection hidden="1"/>
    </xf>
    <xf numFmtId="0" fontId="26" fillId="0" borderId="19" xfId="0" applyNumberFormat="1" applyFont="1" applyFill="1" applyBorder="1" applyAlignment="1" applyProtection="1">
      <alignment horizontal="center" vertical="center" wrapText="1"/>
      <protection hidden="1"/>
    </xf>
    <xf numFmtId="0" fontId="22" fillId="0" borderId="29" xfId="0" applyNumberFormat="1" applyFont="1" applyFill="1" applyBorder="1" applyAlignment="1" applyProtection="1">
      <alignment horizontal="center" vertical="center" wrapText="1"/>
      <protection hidden="1"/>
    </xf>
    <xf numFmtId="0" fontId="0" fillId="36" borderId="0" xfId="0" applyNumberFormat="1" applyFont="1" applyFill="1" applyBorder="1" applyAlignment="1" applyProtection="1">
      <alignment wrapText="1"/>
      <protection/>
    </xf>
    <xf numFmtId="0" fontId="0" fillId="36" borderId="0" xfId="0" applyNumberFormat="1" applyFont="1" applyFill="1" applyBorder="1" applyAlignment="1" applyProtection="1">
      <alignment horizontal="center" wrapText="1"/>
      <protection/>
    </xf>
    <xf numFmtId="0" fontId="21" fillId="0" borderId="16" xfId="0" applyNumberFormat="1" applyFont="1" applyFill="1" applyBorder="1" applyAlignment="1" applyProtection="1">
      <alignment horizontal="right" vertical="top"/>
      <protection hidden="1"/>
    </xf>
    <xf numFmtId="0" fontId="0" fillId="36" borderId="10" xfId="0" applyNumberFormat="1" applyFont="1" applyFill="1" applyBorder="1" applyAlignment="1" applyProtection="1">
      <alignment wrapText="1"/>
      <protection/>
    </xf>
    <xf numFmtId="0" fontId="0" fillId="36" borderId="10" xfId="0" applyNumberFormat="1" applyFont="1" applyFill="1" applyBorder="1" applyAlignment="1" applyProtection="1">
      <alignment horizontal="center" wrapText="1"/>
      <protection/>
    </xf>
    <xf numFmtId="0" fontId="21" fillId="33"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right" vertical="top"/>
      <protection hidden="1"/>
    </xf>
    <xf numFmtId="0" fontId="0" fillId="36" borderId="19" xfId="0" applyNumberFormat="1" applyFont="1" applyFill="1" applyBorder="1" applyAlignment="1" applyProtection="1">
      <alignment wrapText="1"/>
      <protection/>
    </xf>
    <xf numFmtId="0" fontId="0" fillId="0" borderId="0" xfId="0" applyNumberFormat="1" applyFont="1" applyAlignment="1" applyProtection="1">
      <alignment horizontal="center" wrapText="1"/>
      <protection/>
    </xf>
    <xf numFmtId="0" fontId="21" fillId="0" borderId="19" xfId="0" applyNumberFormat="1" applyFont="1" applyFill="1" applyBorder="1" applyAlignment="1" applyProtection="1">
      <alignment horizontal="right" vertical="center"/>
      <protection hidden="1"/>
    </xf>
    <xf numFmtId="0" fontId="21" fillId="0" borderId="0" xfId="0" applyNumberFormat="1" applyFont="1" applyFill="1" applyBorder="1" applyAlignment="1" applyProtection="1">
      <alignment vertical="center" wrapText="1"/>
      <protection/>
    </xf>
    <xf numFmtId="0" fontId="22" fillId="0" borderId="25" xfId="0" applyNumberFormat="1" applyFont="1" applyFill="1" applyBorder="1" applyAlignment="1" applyProtection="1">
      <alignment horizontal="center" vertical="center" wrapText="1"/>
      <protection hidden="1"/>
    </xf>
    <xf numFmtId="0" fontId="0" fillId="0" borderId="12" xfId="0" applyNumberFormat="1" applyFont="1" applyBorder="1" applyAlignment="1" applyProtection="1">
      <alignment wrapText="1"/>
      <protection/>
    </xf>
    <xf numFmtId="0" fontId="0" fillId="0" borderId="12" xfId="0" applyNumberFormat="1" applyFont="1" applyBorder="1" applyAlignment="1" applyProtection="1">
      <alignment horizontal="center" wrapText="1"/>
      <protection/>
    </xf>
    <xf numFmtId="0" fontId="26" fillId="0" borderId="35" xfId="0" applyNumberFormat="1" applyFont="1" applyFill="1" applyBorder="1" applyAlignment="1" applyProtection="1">
      <alignment horizontal="center" vertical="center" wrapText="1"/>
      <protection hidden="1"/>
    </xf>
    <xf numFmtId="0" fontId="26" fillId="0" borderId="36" xfId="0" applyNumberFormat="1" applyFont="1" applyFill="1" applyBorder="1" applyAlignment="1" applyProtection="1">
      <alignment horizontal="center" vertical="center" wrapText="1"/>
      <protection hidden="1"/>
    </xf>
    <xf numFmtId="0" fontId="26" fillId="0" borderId="37" xfId="0" applyNumberFormat="1" applyFont="1" applyFill="1" applyBorder="1" applyAlignment="1" applyProtection="1">
      <alignment horizontal="center" vertical="center" wrapText="1"/>
      <protection hidden="1"/>
    </xf>
    <xf numFmtId="0" fontId="25" fillId="0" borderId="16"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hidden="1"/>
    </xf>
    <xf numFmtId="0" fontId="21" fillId="35" borderId="11" xfId="0" applyNumberFormat="1" applyFont="1" applyFill="1" applyBorder="1" applyAlignment="1" applyProtection="1">
      <alignment horizontal="center" vertical="center" wrapText="1"/>
      <protection hidden="1"/>
    </xf>
    <xf numFmtId="0" fontId="21" fillId="35" borderId="0" xfId="0" applyNumberFormat="1" applyFont="1" applyFill="1" applyBorder="1" applyAlignment="1" applyProtection="1">
      <alignment horizontal="center" vertical="center" wrapText="1"/>
      <protection hidden="1"/>
    </xf>
    <xf numFmtId="0" fontId="21" fillId="0" borderId="0" xfId="0" applyNumberFormat="1" applyFont="1" applyFill="1" applyBorder="1" applyAlignment="1" applyProtection="1">
      <alignment horizontal="center" vertical="center" wrapText="1"/>
      <protection hidden="1"/>
    </xf>
    <xf numFmtId="0" fontId="0" fillId="34" borderId="12" xfId="0" applyNumberFormat="1" applyFont="1" applyFill="1" applyBorder="1" applyAlignment="1" applyProtection="1">
      <alignment wrapText="1"/>
      <protection/>
    </xf>
    <xf numFmtId="0" fontId="21" fillId="0" borderId="0" xfId="0" applyNumberFormat="1" applyFont="1" applyFill="1" applyBorder="1" applyAlignment="1" applyProtection="1">
      <alignment horizontal="right"/>
      <protection hidden="1"/>
    </xf>
    <xf numFmtId="0" fontId="21" fillId="0" borderId="0" xfId="0" applyNumberFormat="1" applyFont="1" applyFill="1" applyBorder="1" applyAlignment="1" applyProtection="1">
      <alignment horizontal="center"/>
      <protection hidden="1"/>
    </xf>
    <xf numFmtId="0" fontId="21" fillId="0" borderId="11" xfId="0" applyNumberFormat="1" applyFont="1" applyFill="1" applyBorder="1" applyAlignment="1" applyProtection="1">
      <alignment horizontal="center" vertical="center" wrapText="1"/>
      <protection hidden="1"/>
    </xf>
    <xf numFmtId="0" fontId="21" fillId="0" borderId="20" xfId="0" applyNumberFormat="1" applyFont="1" applyFill="1" applyBorder="1" applyAlignment="1" applyProtection="1">
      <alignment horizontal="center" vertical="center" wrapText="1"/>
      <protection hidden="1"/>
    </xf>
    <xf numFmtId="0" fontId="0" fillId="34" borderId="26" xfId="0" applyNumberFormat="1" applyFont="1" applyFill="1" applyBorder="1" applyAlignment="1" applyProtection="1">
      <alignment wrapText="1"/>
      <protection/>
    </xf>
    <xf numFmtId="0" fontId="0" fillId="34" borderId="0" xfId="0" applyNumberFormat="1" applyFont="1" applyFill="1" applyBorder="1" applyAlignment="1" applyProtection="1">
      <alignment wrapText="1"/>
      <protection/>
    </xf>
    <xf numFmtId="0" fontId="0" fillId="35" borderId="0" xfId="0" applyNumberFormat="1" applyFont="1" applyFill="1" applyBorder="1" applyAlignment="1" applyProtection="1">
      <alignment/>
      <protection/>
    </xf>
    <xf numFmtId="0" fontId="0" fillId="35" borderId="0" xfId="0" applyNumberFormat="1" applyFont="1" applyFill="1" applyAlignment="1" applyProtection="1">
      <alignment/>
      <protection/>
    </xf>
    <xf numFmtId="0" fontId="0" fillId="35" borderId="0" xfId="0" applyNumberFormat="1" applyFont="1" applyFill="1" applyAlignment="1" applyProtection="1">
      <alignment horizontal="center" wrapText="1"/>
      <protection/>
    </xf>
    <xf numFmtId="0" fontId="0" fillId="35" borderId="0" xfId="0" applyNumberFormat="1" applyFont="1" applyFill="1" applyAlignment="1" applyProtection="1">
      <alignment horizontal="center"/>
      <protection/>
    </xf>
    <xf numFmtId="0" fontId="38" fillId="0" borderId="0" xfId="0" applyFont="1" applyFill="1" applyBorder="1" applyAlignment="1" applyProtection="1">
      <alignment horizontal="left" vertical="center" wrapText="1"/>
      <protection hidden="1"/>
    </xf>
    <xf numFmtId="0" fontId="0" fillId="0" borderId="0" xfId="0" applyNumberFormat="1" applyFont="1" applyBorder="1" applyAlignment="1" applyProtection="1">
      <alignment horizontal="right" wrapText="1"/>
      <protection hidden="1"/>
    </xf>
    <xf numFmtId="1" fontId="21" fillId="0" borderId="0" xfId="0" applyNumberFormat="1" applyFont="1" applyFill="1" applyBorder="1" applyAlignment="1" applyProtection="1">
      <alignment horizontal="center" vertical="center" wrapText="1"/>
      <protection hidden="1"/>
    </xf>
    <xf numFmtId="16" fontId="22" fillId="0" borderId="14"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right" wrapText="1"/>
      <protection/>
    </xf>
    <xf numFmtId="9" fontId="9" fillId="0" borderId="0" xfId="0" applyNumberFormat="1" applyFont="1" applyAlignment="1" applyProtection="1">
      <alignment horizontal="right" wrapText="1"/>
      <protection/>
    </xf>
    <xf numFmtId="9" fontId="0" fillId="0" borderId="0" xfId="0" applyNumberFormat="1" applyFont="1" applyAlignment="1" applyProtection="1">
      <alignment horizontal="left" wrapText="1"/>
      <protection/>
    </xf>
    <xf numFmtId="9" fontId="0" fillId="0" borderId="0" xfId="0" applyNumberFormat="1" applyFont="1" applyAlignment="1" applyProtection="1">
      <alignment horizontal="right" wrapText="1"/>
      <protection/>
    </xf>
    <xf numFmtId="9" fontId="9" fillId="0" borderId="0" xfId="0" applyNumberFormat="1" applyFont="1" applyFill="1" applyAlignment="1" applyProtection="1">
      <alignment wrapText="1"/>
      <protection/>
    </xf>
    <xf numFmtId="9" fontId="9" fillId="0" borderId="0" xfId="0" applyNumberFormat="1" applyFont="1" applyFill="1" applyAlignment="1" applyProtection="1">
      <alignment horizontal="right" wrapText="1"/>
      <protection/>
    </xf>
    <xf numFmtId="0" fontId="14" fillId="35" borderId="0" xfId="0"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left" vertical="center"/>
      <protection/>
    </xf>
    <xf numFmtId="0" fontId="35" fillId="35" borderId="0" xfId="0" applyNumberFormat="1" applyFont="1" applyFill="1" applyBorder="1" applyAlignment="1" applyProtection="1">
      <alignment horizontal="left" vertical="top"/>
      <protection/>
    </xf>
    <xf numFmtId="0" fontId="35" fillId="35" borderId="21" xfId="0" applyNumberFormat="1" applyFont="1" applyFill="1" applyBorder="1" applyAlignment="1" applyProtection="1">
      <alignment vertical="center"/>
      <protection/>
    </xf>
    <xf numFmtId="0" fontId="36" fillId="35" borderId="0" xfId="0" applyNumberFormat="1" applyFont="1" applyFill="1" applyBorder="1" applyAlignment="1" applyProtection="1">
      <alignment/>
      <protection/>
    </xf>
    <xf numFmtId="0" fontId="35" fillId="35" borderId="0" xfId="0" applyNumberFormat="1" applyFont="1" applyFill="1" applyBorder="1" applyAlignment="1" applyProtection="1">
      <alignment/>
      <protection/>
    </xf>
    <xf numFmtId="0" fontId="37" fillId="35" borderId="0" xfId="0" applyNumberFormat="1" applyFont="1" applyFill="1" applyAlignment="1" applyProtection="1">
      <alignment/>
      <protection/>
    </xf>
    <xf numFmtId="0" fontId="37" fillId="35" borderId="0" xfId="0" applyNumberFormat="1" applyFont="1" applyFill="1" applyAlignment="1" applyProtection="1">
      <alignment horizontal="center" wrapText="1"/>
      <protection/>
    </xf>
    <xf numFmtId="0" fontId="37" fillId="0" borderId="0" xfId="0" applyNumberFormat="1" applyFont="1" applyAlignment="1" applyProtection="1">
      <alignment/>
      <protection/>
    </xf>
    <xf numFmtId="0" fontId="37" fillId="0" borderId="0" xfId="0" applyNumberFormat="1"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0" fillId="35"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wrapText="1"/>
      <protection/>
    </xf>
    <xf numFmtId="0" fontId="0" fillId="0" borderId="0" xfId="0" applyFont="1" applyAlignment="1" applyProtection="1">
      <alignment/>
      <protection/>
    </xf>
    <xf numFmtId="1" fontId="0" fillId="0" borderId="0" xfId="0" applyNumberFormat="1" applyFont="1" applyAlignment="1" applyProtection="1">
      <alignment wrapText="1"/>
      <protection/>
    </xf>
    <xf numFmtId="1" fontId="0" fillId="0" borderId="0" xfId="0" applyNumberFormat="1" applyFont="1" applyAlignment="1" applyProtection="1">
      <alignment/>
      <protection/>
    </xf>
    <xf numFmtId="9" fontId="11" fillId="0" borderId="0" xfId="0" applyNumberFormat="1" applyFont="1" applyBorder="1" applyAlignment="1" applyProtection="1">
      <alignment horizontal="left" wrapText="1"/>
      <protection/>
    </xf>
    <xf numFmtId="0" fontId="0" fillId="0" borderId="0" xfId="0" applyAlignment="1" applyProtection="1">
      <alignment horizontal="left" wrapText="1"/>
      <protection hidden="1"/>
    </xf>
    <xf numFmtId="0" fontId="0" fillId="0" borderId="0" xfId="0" applyNumberFormat="1" applyFont="1" applyAlignment="1" applyProtection="1">
      <alignment horizontal="left" wrapText="1"/>
      <protection hidden="1"/>
    </xf>
    <xf numFmtId="0" fontId="11" fillId="0" borderId="0" xfId="0" applyFont="1" applyBorder="1" applyAlignment="1" applyProtection="1">
      <alignment horizontal="left" wrapText="1"/>
      <protection/>
    </xf>
    <xf numFmtId="0" fontId="21" fillId="0" borderId="0" xfId="0" applyNumberFormat="1" applyFont="1" applyFill="1" applyBorder="1" applyAlignment="1" applyProtection="1">
      <alignment horizontal="left"/>
      <protection hidden="1"/>
    </xf>
    <xf numFmtId="0" fontId="11" fillId="0" borderId="0" xfId="0" applyFont="1" applyBorder="1" applyAlignment="1" applyProtection="1">
      <alignment horizontal="left" wrapText="1"/>
      <protection/>
    </xf>
    <xf numFmtId="9" fontId="11"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1" fillId="0" borderId="0" xfId="0" applyFont="1" applyFill="1" applyAlignment="1" applyProtection="1">
      <alignment horizontal="left" wrapText="1"/>
      <protection/>
    </xf>
    <xf numFmtId="0" fontId="11" fillId="0" borderId="0" xfId="0" applyFont="1" applyFill="1" applyBorder="1" applyAlignment="1" applyProtection="1">
      <alignment horizontal="left" wrapText="1"/>
      <protection/>
    </xf>
    <xf numFmtId="0" fontId="10" fillId="0" borderId="0" xfId="0" applyFont="1" applyFill="1" applyAlignment="1" applyProtection="1">
      <alignment horizontal="left" wrapText="1"/>
      <protection/>
    </xf>
    <xf numFmtId="0" fontId="38" fillId="0" borderId="0" xfId="0" applyFont="1" applyFill="1" applyBorder="1" applyAlignment="1" applyProtection="1">
      <alignment horizontal="left" vertical="top" wrapText="1"/>
      <protection hidden="1"/>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0" fontId="10" fillId="0" borderId="0" xfId="0" applyFont="1" applyBorder="1" applyAlignment="1" applyProtection="1">
      <alignment horizontal="left" wrapText="1"/>
      <protection/>
    </xf>
    <xf numFmtId="0" fontId="10" fillId="0" borderId="0" xfId="0" applyFont="1" applyFill="1" applyBorder="1" applyAlignment="1" applyProtection="1">
      <alignment horizontal="left" wrapText="1"/>
      <protection/>
    </xf>
    <xf numFmtId="0" fontId="10" fillId="0" borderId="0" xfId="0" applyFont="1" applyBorder="1" applyAlignment="1" applyProtection="1">
      <alignment horizontal="left" vertical="top" wrapText="1"/>
      <protection/>
    </xf>
    <xf numFmtId="0" fontId="25" fillId="0" borderId="0" xfId="0" applyFont="1" applyFill="1" applyBorder="1" applyAlignment="1" applyProtection="1">
      <alignment horizontal="left"/>
      <protection hidden="1"/>
    </xf>
    <xf numFmtId="0" fontId="11" fillId="0" borderId="0" xfId="0" applyFont="1" applyFill="1" applyBorder="1" applyAlignment="1" applyProtection="1">
      <alignment horizontal="left"/>
      <protection/>
    </xf>
    <xf numFmtId="0" fontId="21" fillId="0" borderId="29" xfId="0" applyNumberFormat="1" applyFont="1" applyFill="1" applyBorder="1" applyAlignment="1" applyProtection="1">
      <alignment horizontal="left" vertical="center" indent="1"/>
      <protection/>
    </xf>
    <xf numFmtId="0" fontId="6" fillId="0" borderId="19" xfId="0" applyNumberFormat="1" applyFont="1" applyFill="1" applyBorder="1" applyAlignment="1" applyProtection="1">
      <alignment horizontal="left" vertical="center" indent="1"/>
      <protection/>
    </xf>
    <xf numFmtId="0" fontId="21" fillId="0" borderId="28" xfId="0" applyNumberFormat="1" applyFont="1" applyFill="1" applyBorder="1" applyAlignment="1" applyProtection="1">
      <alignment horizontal="left" vertical="center" indent="1"/>
      <protection/>
    </xf>
    <xf numFmtId="0" fontId="21" fillId="0" borderId="28" xfId="0" applyNumberFormat="1" applyFont="1" applyFill="1" applyBorder="1" applyAlignment="1" applyProtection="1">
      <alignment horizontal="left" vertical="top" wrapText="1" indent="1"/>
      <protection hidden="1"/>
    </xf>
    <xf numFmtId="0" fontId="21" fillId="0" borderId="28" xfId="0" applyNumberFormat="1" applyFont="1" applyFill="1" applyBorder="1" applyAlignment="1" applyProtection="1">
      <alignment horizontal="left" vertical="top" indent="1"/>
      <protection hidden="1"/>
    </xf>
    <xf numFmtId="0" fontId="21" fillId="0" borderId="28" xfId="0" applyNumberFormat="1" applyFont="1" applyFill="1" applyBorder="1" applyAlignment="1" applyProtection="1">
      <alignment horizontal="left" vertical="center" wrapText="1" indent="1"/>
      <protection/>
    </xf>
    <xf numFmtId="0" fontId="21" fillId="0" borderId="28" xfId="0" applyNumberFormat="1" applyFont="1" applyFill="1" applyBorder="1" applyAlignment="1" applyProtection="1">
      <alignment horizontal="left" vertical="center" indent="4"/>
      <protection/>
    </xf>
    <xf numFmtId="0" fontId="21" fillId="0" borderId="29" xfId="0" applyNumberFormat="1" applyFont="1" applyFill="1" applyBorder="1" applyAlignment="1" applyProtection="1">
      <alignment horizontal="left" vertical="center" indent="4"/>
      <protection/>
    </xf>
    <xf numFmtId="0" fontId="6" fillId="0" borderId="28" xfId="0" applyNumberFormat="1" applyFont="1" applyFill="1" applyBorder="1" applyAlignment="1" applyProtection="1">
      <alignment horizontal="left" vertical="top" indent="1"/>
      <protection hidden="1"/>
    </xf>
    <xf numFmtId="0" fontId="6" fillId="0" borderId="19" xfId="0" applyNumberFormat="1" applyFont="1" applyFill="1" applyBorder="1" applyAlignment="1" applyProtection="1">
      <alignment horizontal="left" vertical="top" indent="1"/>
      <protection hidden="1"/>
    </xf>
    <xf numFmtId="0" fontId="21" fillId="0" borderId="29" xfId="0" applyNumberFormat="1" applyFont="1" applyFill="1" applyBorder="1" applyAlignment="1" applyProtection="1">
      <alignment horizontal="left" vertical="top" wrapText="1" indent="1"/>
      <protection hidden="1"/>
    </xf>
    <xf numFmtId="0" fontId="6" fillId="0" borderId="16" xfId="0" applyNumberFormat="1" applyFont="1" applyFill="1" applyBorder="1" applyAlignment="1" applyProtection="1">
      <alignment horizontal="left" vertical="top" indent="1"/>
      <protection hidden="1"/>
    </xf>
    <xf numFmtId="0" fontId="6" fillId="0" borderId="16" xfId="0" applyNumberFormat="1" applyFont="1" applyFill="1" applyBorder="1" applyAlignment="1" applyProtection="1">
      <alignment horizontal="left" vertical="center" indent="1"/>
      <protection hidden="1"/>
    </xf>
    <xf numFmtId="0" fontId="21" fillId="0" borderId="29" xfId="0" applyNumberFormat="1" applyFont="1" applyFill="1" applyBorder="1" applyAlignment="1" applyProtection="1">
      <alignment horizontal="left" vertical="top" indent="1"/>
      <protection hidden="1"/>
    </xf>
    <xf numFmtId="0" fontId="6" fillId="0" borderId="19" xfId="0" applyNumberFormat="1" applyFont="1" applyFill="1" applyBorder="1" applyAlignment="1" applyProtection="1">
      <alignment horizontal="left" vertical="center" indent="1"/>
      <protection hidden="1"/>
    </xf>
    <xf numFmtId="0" fontId="21" fillId="0" borderId="28" xfId="0" applyNumberFormat="1" applyFont="1" applyFill="1" applyBorder="1" applyAlignment="1" applyProtection="1">
      <alignment horizontal="left" vertical="center" wrapText="1" indent="1"/>
      <protection hidden="1"/>
    </xf>
    <xf numFmtId="0" fontId="6" fillId="37" borderId="16" xfId="0" applyNumberFormat="1" applyFont="1" applyFill="1" applyBorder="1" applyAlignment="1" applyProtection="1">
      <alignment horizontal="left" vertical="top" wrapText="1" indent="1"/>
      <protection hidden="1"/>
    </xf>
    <xf numFmtId="0" fontId="6" fillId="0" borderId="16" xfId="0" applyNumberFormat="1" applyFont="1" applyFill="1" applyBorder="1" applyAlignment="1" applyProtection="1">
      <alignment horizontal="left" vertical="center" wrapText="1" indent="1"/>
      <protection hidden="1"/>
    </xf>
    <xf numFmtId="0" fontId="6" fillId="35" borderId="0" xfId="0" applyNumberFormat="1" applyFont="1" applyFill="1" applyBorder="1" applyAlignment="1" applyProtection="1">
      <alignment horizontal="left" indent="1"/>
      <protection/>
    </xf>
    <xf numFmtId="0" fontId="21" fillId="0" borderId="0" xfId="0" applyNumberFormat="1" applyFont="1" applyFill="1" applyBorder="1" applyAlignment="1" applyProtection="1">
      <alignment horizontal="left" vertical="top" indent="1"/>
      <protection/>
    </xf>
    <xf numFmtId="0" fontId="21" fillId="0" borderId="28" xfId="0" applyNumberFormat="1" applyFont="1" applyFill="1" applyBorder="1" applyAlignment="1" applyProtection="1">
      <alignment horizontal="left" vertical="center" indent="2"/>
      <protection hidden="1"/>
    </xf>
    <xf numFmtId="0" fontId="21" fillId="0" borderId="29" xfId="0" applyNumberFormat="1" applyFont="1" applyFill="1" applyBorder="1" applyAlignment="1" applyProtection="1">
      <alignment horizontal="left" vertical="center" indent="2"/>
      <protection hidden="1"/>
    </xf>
    <xf numFmtId="0" fontId="21" fillId="0" borderId="28" xfId="0" applyNumberFormat="1" applyFont="1" applyFill="1" applyBorder="1" applyAlignment="1" applyProtection="1">
      <alignment horizontal="left" indent="1"/>
      <protection/>
    </xf>
    <xf numFmtId="0" fontId="6" fillId="0" borderId="28" xfId="0" applyNumberFormat="1" applyFont="1" applyFill="1" applyBorder="1" applyAlignment="1" applyProtection="1">
      <alignment horizontal="left" vertical="top" wrapText="1" indent="1"/>
      <protection hidden="1"/>
    </xf>
    <xf numFmtId="0" fontId="21" fillId="0" borderId="16" xfId="0" applyNumberFormat="1" applyFont="1" applyFill="1" applyBorder="1" applyAlignment="1" applyProtection="1">
      <alignment horizontal="left" vertical="center" indent="1"/>
      <protection hidden="1"/>
    </xf>
    <xf numFmtId="0" fontId="0" fillId="36" borderId="16" xfId="0" applyNumberFormat="1" applyFont="1" applyFill="1" applyBorder="1" applyAlignment="1" applyProtection="1">
      <alignment horizontal="left" wrapText="1" indent="1"/>
      <protection/>
    </xf>
    <xf numFmtId="0" fontId="6" fillId="0" borderId="28" xfId="0" applyNumberFormat="1" applyFont="1" applyFill="1" applyBorder="1" applyAlignment="1" applyProtection="1">
      <alignment horizontal="left" vertical="center" indent="1"/>
      <protection hidden="1"/>
    </xf>
    <xf numFmtId="0" fontId="6" fillId="0" borderId="19" xfId="0" applyNumberFormat="1" applyFont="1" applyFill="1" applyBorder="1" applyAlignment="1" applyProtection="1">
      <alignment horizontal="left" vertical="center" wrapText="1" indent="1"/>
      <protection hidden="1"/>
    </xf>
    <xf numFmtId="0" fontId="21" fillId="0" borderId="29" xfId="0" applyNumberFormat="1" applyFont="1" applyFill="1" applyBorder="1" applyAlignment="1" applyProtection="1">
      <alignment horizontal="left" vertical="center" wrapText="1" indent="1"/>
      <protection hidden="1"/>
    </xf>
    <xf numFmtId="0" fontId="6" fillId="0" borderId="16" xfId="0" applyNumberFormat="1" applyFont="1" applyFill="1" applyBorder="1" applyAlignment="1" applyProtection="1">
      <alignment horizontal="left" vertical="top" wrapText="1" indent="1"/>
      <protection hidden="1"/>
    </xf>
    <xf numFmtId="0" fontId="21" fillId="0" borderId="16" xfId="0" applyNumberFormat="1" applyFont="1" applyFill="1" applyBorder="1" applyAlignment="1" applyProtection="1">
      <alignment horizontal="right" vertical="center" indent="1"/>
      <protection hidden="1"/>
    </xf>
    <xf numFmtId="0" fontId="0" fillId="0" borderId="38" xfId="0" applyNumberFormat="1" applyFont="1" applyFill="1" applyBorder="1" applyAlignment="1" applyProtection="1">
      <alignment wrapText="1"/>
      <protection/>
    </xf>
    <xf numFmtId="0" fontId="0" fillId="0" borderId="39" xfId="0" applyNumberFormat="1" applyFont="1" applyBorder="1" applyAlignment="1" applyProtection="1">
      <alignment wrapText="1"/>
      <protection/>
    </xf>
    <xf numFmtId="0" fontId="0" fillId="0" borderId="40" xfId="0" applyNumberFormat="1" applyFont="1" applyFill="1" applyBorder="1" applyAlignment="1" applyProtection="1">
      <alignment wrapText="1"/>
      <protection/>
    </xf>
    <xf numFmtId="0" fontId="0" fillId="0" borderId="39" xfId="0" applyNumberFormat="1" applyFont="1" applyFill="1" applyBorder="1" applyAlignment="1" applyProtection="1">
      <alignment wrapText="1"/>
      <protection/>
    </xf>
    <xf numFmtId="0" fontId="39" fillId="35" borderId="0" xfId="0" applyFont="1" applyFill="1" applyBorder="1" applyAlignment="1" applyProtection="1">
      <alignment vertical="center"/>
      <protection/>
    </xf>
    <xf numFmtId="0" fontId="21" fillId="0" borderId="19" xfId="0" applyNumberFormat="1" applyFont="1" applyFill="1" applyBorder="1" applyAlignment="1" applyProtection="1">
      <alignment horizontal="left" vertical="center" wrapText="1" indent="1"/>
      <protection hidden="1"/>
    </xf>
    <xf numFmtId="0" fontId="21" fillId="0" borderId="19" xfId="0" applyNumberFormat="1" applyFont="1" applyFill="1" applyBorder="1" applyAlignment="1" applyProtection="1">
      <alignment horizontal="left" vertical="center" wrapText="1" indent="2"/>
      <protection hidden="1"/>
    </xf>
    <xf numFmtId="0" fontId="40" fillId="37" borderId="0" xfId="0" applyNumberFormat="1" applyFont="1" applyFill="1" applyBorder="1" applyAlignment="1" applyProtection="1">
      <alignment horizontal="left" vertical="center" wrapText="1" indent="1"/>
      <protection locked="0"/>
    </xf>
    <xf numFmtId="0" fontId="25" fillId="0" borderId="30"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hidden="1"/>
    </xf>
    <xf numFmtId="0" fontId="25" fillId="0" borderId="10"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2" fillId="0" borderId="31" xfId="0" applyNumberFormat="1" applyFont="1" applyFill="1" applyBorder="1" applyAlignment="1" applyProtection="1">
      <alignment horizontal="center" vertical="center" wrapText="1"/>
      <protection/>
    </xf>
    <xf numFmtId="0" fontId="22" fillId="0" borderId="25" xfId="0" applyNumberFormat="1" applyFont="1" applyFill="1" applyBorder="1" applyAlignment="1" applyProtection="1">
      <alignment horizontal="center" vertical="center" wrapText="1"/>
      <protection/>
    </xf>
    <xf numFmtId="0" fontId="22" fillId="0" borderId="29" xfId="0" applyNumberFormat="1" applyFont="1" applyFill="1" applyBorder="1" applyAlignment="1" applyProtection="1">
      <alignment horizontal="center" vertical="center" wrapText="1"/>
      <protection/>
    </xf>
    <xf numFmtId="0" fontId="22" fillId="0" borderId="3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hidden="1"/>
    </xf>
    <xf numFmtId="0" fontId="22" fillId="0" borderId="10"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2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2" fillId="0" borderId="28" xfId="0" applyNumberFormat="1" applyFont="1" applyFill="1" applyBorder="1" applyAlignment="1" applyProtection="1">
      <alignment horizontal="center" vertical="center" wrapText="1"/>
      <protection/>
    </xf>
    <xf numFmtId="0" fontId="0" fillId="38" borderId="41" xfId="0" applyNumberFormat="1" applyFont="1" applyFill="1" applyBorder="1" applyAlignment="1" applyProtection="1">
      <alignment horizontal="center" vertical="center" wrapText="1"/>
      <protection locked="0"/>
    </xf>
    <xf numFmtId="9" fontId="0" fillId="38" borderId="41" xfId="0" applyNumberFormat="1" applyFont="1" applyFill="1" applyBorder="1" applyAlignment="1" applyProtection="1">
      <alignment horizontal="center" vertical="center" wrapText="1"/>
      <protection locked="0"/>
    </xf>
    <xf numFmtId="0" fontId="0" fillId="33" borderId="41"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vertical="center" wrapText="1"/>
      <protection/>
    </xf>
    <xf numFmtId="0" fontId="0" fillId="0" borderId="0" xfId="0" applyNumberFormat="1" applyFont="1" applyFill="1" applyAlignment="1" applyProtection="1">
      <alignment vertical="center" wrapText="1"/>
      <protection/>
    </xf>
    <xf numFmtId="0" fontId="0" fillId="33" borderId="11"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wrapText="1"/>
      <protection/>
    </xf>
    <xf numFmtId="0" fontId="3" fillId="34" borderId="12" xfId="0" applyNumberFormat="1" applyFont="1" applyFill="1" applyBorder="1" applyAlignment="1" applyProtection="1">
      <alignment vertical="center"/>
      <protection hidden="1"/>
    </xf>
    <xf numFmtId="0" fontId="3" fillId="34" borderId="12" xfId="0" applyNumberFormat="1" applyFont="1" applyFill="1" applyBorder="1" applyAlignment="1" applyProtection="1">
      <alignment horizontal="center" vertical="center" wrapText="1"/>
      <protection hidden="1"/>
    </xf>
    <xf numFmtId="0" fontId="21" fillId="0" borderId="0" xfId="0" applyNumberFormat="1" applyFont="1" applyFill="1" applyBorder="1" applyAlignment="1" applyProtection="1">
      <alignment horizontal="center" vertical="center"/>
      <protection hidden="1"/>
    </xf>
    <xf numFmtId="1" fontId="21" fillId="0" borderId="0" xfId="0" applyNumberFormat="1" applyFont="1" applyFill="1" applyBorder="1" applyAlignment="1" applyProtection="1">
      <alignment horizontal="center" vertical="center"/>
      <protection hidden="1"/>
    </xf>
    <xf numFmtId="0" fontId="0" fillId="0" borderId="42" xfId="0" applyNumberFormat="1" applyFont="1" applyBorder="1" applyAlignment="1" applyProtection="1">
      <alignment wrapText="1"/>
      <protection/>
    </xf>
    <xf numFmtId="0" fontId="0" fillId="0" borderId="42" xfId="0" applyNumberFormat="1" applyFont="1" applyBorder="1" applyAlignment="1" applyProtection="1">
      <alignment vertical="center" wrapText="1"/>
      <protection/>
    </xf>
    <xf numFmtId="0" fontId="6" fillId="0" borderId="43" xfId="0" applyNumberFormat="1" applyFont="1" applyFill="1" applyBorder="1" applyAlignment="1" applyProtection="1">
      <alignment horizontal="left" vertical="center" indent="1"/>
      <protection hidden="1"/>
    </xf>
    <xf numFmtId="0" fontId="20" fillId="0" borderId="25" xfId="0" applyNumberFormat="1" applyFont="1" applyFill="1" applyBorder="1" applyAlignment="1" applyProtection="1">
      <alignment horizontal="center" vertical="center" wrapText="1"/>
      <protection hidden="1"/>
    </xf>
    <xf numFmtId="0" fontId="6" fillId="0" borderId="19" xfId="0" applyNumberFormat="1" applyFont="1" applyFill="1" applyBorder="1" applyAlignment="1" applyProtection="1">
      <alignment horizontal="left" vertical="top" wrapText="1" indent="1"/>
      <protection hidden="1"/>
    </xf>
    <xf numFmtId="0" fontId="41" fillId="35"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center" wrapText="1"/>
      <protection hidden="1"/>
    </xf>
    <xf numFmtId="1" fontId="10" fillId="0" borderId="0" xfId="0" applyNumberFormat="1" applyFont="1" applyFill="1" applyBorder="1" applyAlignment="1" applyProtection="1">
      <alignment horizontal="left" vertical="top" wrapText="1"/>
      <protection hidden="1"/>
    </xf>
    <xf numFmtId="9" fontId="0" fillId="0" borderId="0" xfId="0" applyNumberFormat="1" applyFont="1" applyAlignment="1" applyProtection="1">
      <alignment wrapText="1"/>
      <protection/>
    </xf>
    <xf numFmtId="0" fontId="4" fillId="0" borderId="0" xfId="0" applyNumberFormat="1" applyFont="1" applyFill="1" applyBorder="1" applyAlignment="1" applyProtection="1">
      <alignment horizontal="centerContinuous" vertical="center" wrapText="1"/>
      <protection hidden="1"/>
    </xf>
    <xf numFmtId="0" fontId="18" fillId="0" borderId="0" xfId="0" applyNumberFormat="1" applyFont="1" applyFill="1" applyBorder="1" applyAlignment="1" applyProtection="1">
      <alignment horizontal="center" vertical="justify" textRotation="90" wrapText="1"/>
      <protection hidden="1"/>
    </xf>
    <xf numFmtId="0" fontId="24" fillId="0" borderId="0" xfId="0" applyNumberFormat="1" applyFont="1" applyFill="1" applyBorder="1" applyAlignment="1" applyProtection="1">
      <alignment horizontal="center" vertical="center" wrapText="1"/>
      <protection hidden="1"/>
    </xf>
    <xf numFmtId="0" fontId="24"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wrapText="1"/>
      <protection hidden="1"/>
    </xf>
    <xf numFmtId="0" fontId="30" fillId="0" borderId="0" xfId="0" applyNumberFormat="1" applyFont="1" applyFill="1" applyBorder="1" applyAlignment="1" applyProtection="1">
      <alignment horizontal="center" vertical="center" wrapText="1"/>
      <protection hidden="1"/>
    </xf>
    <xf numFmtId="0" fontId="31" fillId="0" borderId="0" xfId="0" applyNumberFormat="1" applyFont="1" applyFill="1" applyBorder="1" applyAlignment="1" applyProtection="1">
      <alignment horizontal="center" vertical="center" wrapText="1"/>
      <protection hidden="1"/>
    </xf>
    <xf numFmtId="0" fontId="25" fillId="0" borderId="0" xfId="0"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wrapText="1"/>
      <protection hidden="1"/>
    </xf>
    <xf numFmtId="0" fontId="21"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hidden="1"/>
    </xf>
    <xf numFmtId="0" fontId="37" fillId="0" borderId="0" xfId="0" applyNumberFormat="1" applyFont="1" applyFill="1" applyAlignment="1" applyProtection="1">
      <alignment horizontal="center" wrapText="1"/>
      <protection/>
    </xf>
    <xf numFmtId="0" fontId="0" fillId="0" borderId="0" xfId="0" applyFont="1" applyFill="1" applyAlignment="1" applyProtection="1">
      <alignment horizontal="center" wrapText="1"/>
      <protection/>
    </xf>
    <xf numFmtId="0" fontId="0" fillId="0" borderId="0" xfId="0" applyNumberFormat="1" applyFont="1" applyFill="1" applyAlignment="1" applyProtection="1">
      <alignment horizontal="center"/>
      <protection/>
    </xf>
    <xf numFmtId="0" fontId="0" fillId="35" borderId="0" xfId="0" applyNumberFormat="1" applyFont="1" applyFill="1" applyBorder="1" applyAlignment="1" applyProtection="1">
      <alignment horizontal="center" wrapText="1"/>
      <protection/>
    </xf>
    <xf numFmtId="0" fontId="0" fillId="0" borderId="0" xfId="0" applyNumberFormat="1" applyFont="1" applyBorder="1" applyAlignment="1" applyProtection="1">
      <alignment/>
      <protection/>
    </xf>
    <xf numFmtId="0" fontId="0" fillId="35"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left" vertical="top" wrapText="1"/>
      <protection/>
    </xf>
    <xf numFmtId="0" fontId="6" fillId="0" borderId="0" xfId="0" applyNumberFormat="1" applyFont="1" applyFill="1" applyBorder="1" applyAlignment="1" applyProtection="1">
      <alignment horizontal="left" vertical="center"/>
      <protection/>
    </xf>
    <xf numFmtId="0" fontId="42" fillId="35"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left" vertical="center"/>
      <protection hidden="1"/>
    </xf>
    <xf numFmtId="0" fontId="3" fillId="0" borderId="0" xfId="0" applyNumberFormat="1" applyFont="1" applyBorder="1" applyAlignment="1" applyProtection="1">
      <alignment/>
      <protection/>
    </xf>
    <xf numFmtId="0" fontId="6" fillId="0" borderId="16" xfId="0" applyNumberFormat="1" applyFont="1" applyFill="1" applyBorder="1" applyAlignment="1" applyProtection="1">
      <alignment horizontal="left" vertical="top" wrapText="1"/>
      <protection hidden="1"/>
    </xf>
    <xf numFmtId="0" fontId="0" fillId="0" borderId="0" xfId="0" applyNumberFormat="1" applyFont="1" applyFill="1" applyAlignment="1" applyProtection="1">
      <alignment vertical="top" wrapText="1"/>
      <protection/>
    </xf>
    <xf numFmtId="183" fontId="0" fillId="33" borderId="41" xfId="0" applyNumberFormat="1" applyFont="1" applyFill="1" applyBorder="1" applyAlignment="1" applyProtection="1">
      <alignment horizontal="center" vertical="center" wrapText="1"/>
      <protection locked="0"/>
    </xf>
    <xf numFmtId="171" fontId="8" fillId="34" borderId="25" xfId="0" applyNumberFormat="1" applyFont="1" applyFill="1" applyBorder="1" applyAlignment="1" applyProtection="1">
      <alignment horizontal="center" vertical="center" wrapText="1"/>
      <protection hidden="1"/>
    </xf>
    <xf numFmtId="1" fontId="7" fillId="34" borderId="0" xfId="0" applyNumberFormat="1" applyFont="1" applyFill="1" applyBorder="1" applyAlignment="1" applyProtection="1">
      <alignment horizontal="center" vertical="center"/>
      <protection hidden="1"/>
    </xf>
    <xf numFmtId="0" fontId="43" fillId="0" borderId="0" xfId="0" applyNumberFormat="1" applyFont="1" applyFill="1" applyBorder="1" applyAlignment="1" applyProtection="1">
      <alignment horizontal="left" vertical="center" wrapText="1" indent="2"/>
      <protection hidden="1"/>
    </xf>
    <xf numFmtId="0" fontId="21" fillId="0" borderId="0" xfId="0" applyNumberFormat="1" applyFont="1" applyFill="1" applyBorder="1" applyAlignment="1" applyProtection="1">
      <alignment horizontal="left" vertical="center" wrapText="1" indent="2"/>
      <protection hidden="1"/>
    </xf>
    <xf numFmtId="171" fontId="8" fillId="35" borderId="27"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left"/>
      <protection/>
    </xf>
    <xf numFmtId="0" fontId="7" fillId="0" borderId="0" xfId="0" applyNumberFormat="1" applyFont="1" applyFill="1" applyBorder="1" applyAlignment="1" applyProtection="1">
      <alignment vertical="center" wrapText="1"/>
      <protection/>
    </xf>
    <xf numFmtId="0" fontId="17" fillId="0" borderId="0" xfId="0" applyNumberFormat="1" applyFont="1" applyBorder="1" applyAlignment="1" applyProtection="1">
      <alignment vertical="center"/>
      <protection/>
    </xf>
    <xf numFmtId="0" fontId="0" fillId="0" borderId="44" xfId="0" applyNumberFormat="1" applyFont="1" applyBorder="1" applyAlignment="1" applyProtection="1">
      <alignment horizontal="center" vertical="center" wrapText="1"/>
      <protection/>
    </xf>
    <xf numFmtId="0" fontId="0" fillId="0" borderId="45" xfId="0" applyNumberFormat="1" applyFont="1" applyBorder="1" applyAlignment="1" applyProtection="1">
      <alignment horizontal="center" vertical="center" wrapText="1"/>
      <protection/>
    </xf>
    <xf numFmtId="0" fontId="0" fillId="0" borderId="26" xfId="0" applyNumberFormat="1" applyFont="1" applyBorder="1" applyAlignment="1" applyProtection="1">
      <alignment horizontal="center" vertical="center" wrapText="1"/>
      <protection/>
    </xf>
    <xf numFmtId="0" fontId="0" fillId="0" borderId="46"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26" xfId="0" applyNumberFormat="1" applyFont="1" applyBorder="1" applyAlignment="1" applyProtection="1">
      <alignment horizontal="center" wrapText="1"/>
      <protection/>
    </xf>
    <xf numFmtId="0" fontId="10" fillId="36" borderId="13" xfId="0" applyNumberFormat="1" applyFont="1" applyFill="1" applyBorder="1" applyAlignment="1" applyProtection="1">
      <alignment vertical="top"/>
      <protection hidden="1"/>
    </xf>
    <xf numFmtId="0" fontId="0" fillId="0" borderId="31" xfId="0" applyNumberFormat="1" applyFont="1" applyBorder="1" applyAlignment="1" applyProtection="1">
      <alignment horizontal="center" wrapText="1"/>
      <protection/>
    </xf>
    <xf numFmtId="0" fontId="0" fillId="0" borderId="30" xfId="0" applyNumberFormat="1" applyFont="1" applyBorder="1" applyAlignment="1" applyProtection="1">
      <alignment horizontal="center" vertical="center" wrapText="1"/>
      <protection/>
    </xf>
    <xf numFmtId="0" fontId="0" fillId="0" borderId="13" xfId="0" applyNumberFormat="1" applyFont="1" applyFill="1" applyBorder="1" applyAlignment="1" applyProtection="1">
      <alignment horizontal="center" wrapText="1"/>
      <protection/>
    </xf>
    <xf numFmtId="0" fontId="0" fillId="0" borderId="30" xfId="0" applyNumberFormat="1" applyFont="1" applyFill="1" applyBorder="1" applyAlignment="1" applyProtection="1">
      <alignment vertical="center" wrapText="1"/>
      <protection/>
    </xf>
    <xf numFmtId="0" fontId="0" fillId="0" borderId="26" xfId="0" applyNumberFormat="1" applyFont="1" applyFill="1" applyBorder="1" applyAlignment="1" applyProtection="1">
      <alignment wrapText="1"/>
      <protection/>
    </xf>
    <xf numFmtId="0" fontId="0" fillId="0" borderId="26" xfId="0" applyNumberFormat="1" applyFont="1" applyFill="1" applyBorder="1" applyAlignment="1" applyProtection="1">
      <alignment vertical="center" wrapText="1"/>
      <protection/>
    </xf>
    <xf numFmtId="0" fontId="10" fillId="36" borderId="20" xfId="0" applyNumberFormat="1" applyFont="1" applyFill="1" applyBorder="1" applyAlignment="1" applyProtection="1">
      <alignment vertical="top"/>
      <protection hidden="1"/>
    </xf>
    <xf numFmtId="0" fontId="0" fillId="0" borderId="31" xfId="0" applyNumberFormat="1" applyFont="1" applyFill="1" applyBorder="1" applyAlignment="1" applyProtection="1">
      <alignment wrapText="1"/>
      <protection/>
    </xf>
    <xf numFmtId="0" fontId="10" fillId="36" borderId="27" xfId="0" applyNumberFormat="1" applyFont="1" applyFill="1" applyBorder="1" applyAlignment="1" applyProtection="1">
      <alignment vertical="top"/>
      <protection hidden="1"/>
    </xf>
    <xf numFmtId="0" fontId="0" fillId="0" borderId="30" xfId="0" applyNumberFormat="1" applyFont="1" applyFill="1" applyBorder="1" applyAlignment="1" applyProtection="1">
      <alignment wrapText="1"/>
      <protection/>
    </xf>
    <xf numFmtId="0" fontId="0" fillId="0" borderId="13" xfId="0" applyNumberFormat="1" applyFont="1" applyFill="1" applyBorder="1" applyAlignment="1" applyProtection="1">
      <alignment wrapText="1"/>
      <protection/>
    </xf>
    <xf numFmtId="0" fontId="10" fillId="36" borderId="30" xfId="0" applyNumberFormat="1" applyFont="1" applyFill="1" applyBorder="1" applyAlignment="1" applyProtection="1">
      <alignment vertical="top"/>
      <protection hidden="1"/>
    </xf>
    <xf numFmtId="0" fontId="0" fillId="0" borderId="13" xfId="0" applyNumberFormat="1" applyFont="1" applyBorder="1" applyAlignment="1" applyProtection="1">
      <alignment vertical="center" wrapText="1"/>
      <protection/>
    </xf>
    <xf numFmtId="0" fontId="0" fillId="0" borderId="30" xfId="0" applyNumberFormat="1" applyFont="1" applyBorder="1" applyAlignment="1" applyProtection="1">
      <alignment vertical="center" wrapText="1"/>
      <protection/>
    </xf>
    <xf numFmtId="0" fontId="31" fillId="0" borderId="0" xfId="0" applyNumberFormat="1" applyFont="1" applyFill="1" applyBorder="1" applyAlignment="1" applyProtection="1">
      <alignment horizontal="left" vertical="center" wrapText="1"/>
      <protection hidden="1"/>
    </xf>
    <xf numFmtId="0" fontId="31" fillId="0" borderId="16" xfId="0" applyNumberFormat="1" applyFont="1" applyFill="1" applyBorder="1" applyAlignment="1" applyProtection="1">
      <alignment horizontal="left" vertical="center" wrapText="1"/>
      <protection locked="0"/>
    </xf>
    <xf numFmtId="0" fontId="31" fillId="0" borderId="11" xfId="0" applyNumberFormat="1" applyFont="1" applyFill="1" applyBorder="1" applyAlignment="1" applyProtection="1">
      <alignment horizontal="left" vertical="center" wrapText="1"/>
      <protection locked="0"/>
    </xf>
    <xf numFmtId="0" fontId="0" fillId="0" borderId="43" xfId="0" applyNumberFormat="1" applyFont="1" applyBorder="1" applyAlignment="1" applyProtection="1">
      <alignment vertical="center" wrapText="1"/>
      <protection/>
    </xf>
    <xf numFmtId="0" fontId="0" fillId="0" borderId="12" xfId="0" applyNumberFormat="1" applyFont="1" applyBorder="1" applyAlignment="1" applyProtection="1">
      <alignment vertical="center" wrapText="1"/>
      <protection/>
    </xf>
    <xf numFmtId="0" fontId="0" fillId="0" borderId="47" xfId="0" applyNumberFormat="1" applyFont="1" applyBorder="1" applyAlignment="1" applyProtection="1">
      <alignment vertical="center" wrapText="1"/>
      <protection/>
    </xf>
    <xf numFmtId="0" fontId="0" fillId="0" borderId="31" xfId="0" applyNumberFormat="1" applyFont="1" applyBorder="1" applyAlignment="1" applyProtection="1">
      <alignment horizontal="center" vertical="center" wrapText="1"/>
      <protection/>
    </xf>
    <xf numFmtId="0" fontId="0" fillId="38" borderId="41" xfId="0" applyNumberFormat="1" applyFont="1" applyFill="1" applyBorder="1" applyAlignment="1" applyProtection="1">
      <alignment horizontal="center" vertical="center" wrapText="1"/>
      <protection/>
    </xf>
    <xf numFmtId="1" fontId="0" fillId="33" borderId="41" xfId="0" applyNumberFormat="1" applyFont="1" applyFill="1" applyBorder="1" applyAlignment="1" applyProtection="1">
      <alignment horizontal="center" vertical="center" wrapText="1"/>
      <protection locked="0"/>
    </xf>
    <xf numFmtId="0" fontId="79" fillId="35" borderId="0" xfId="0" applyNumberFormat="1" applyFont="1" applyFill="1" applyBorder="1" applyAlignment="1" applyProtection="1">
      <alignment/>
      <protection/>
    </xf>
    <xf numFmtId="1" fontId="0" fillId="0" borderId="0" xfId="0" applyNumberFormat="1" applyFont="1" applyFill="1" applyBorder="1" applyAlignment="1" applyProtection="1">
      <alignment horizontal="center" wrapText="1"/>
      <protection/>
    </xf>
    <xf numFmtId="0" fontId="80" fillId="33" borderId="11" xfId="0" applyNumberFormat="1" applyFont="1" applyFill="1" applyBorder="1" applyAlignment="1" applyProtection="1">
      <alignment horizontal="center" vertical="center"/>
      <protection/>
    </xf>
    <xf numFmtId="1" fontId="81" fillId="33" borderId="11" xfId="0" applyNumberFormat="1" applyFont="1" applyFill="1" applyBorder="1" applyAlignment="1" applyProtection="1">
      <alignment horizontal="center" vertical="center"/>
      <protection/>
    </xf>
    <xf numFmtId="171" fontId="0" fillId="0" borderId="0" xfId="0" applyNumberFormat="1" applyFont="1" applyFill="1" applyBorder="1" applyAlignment="1" applyProtection="1">
      <alignment wrapText="1"/>
      <protection/>
    </xf>
    <xf numFmtId="0" fontId="6" fillId="0" borderId="48" xfId="0" applyFont="1" applyFill="1" applyBorder="1" applyAlignment="1" applyProtection="1">
      <alignment horizontal="left" vertical="center" wrapText="1" indent="1"/>
      <protection hidden="1"/>
    </xf>
    <xf numFmtId="0" fontId="82" fillId="35" borderId="0" xfId="0" applyNumberFormat="1" applyFont="1" applyFill="1" applyBorder="1" applyAlignment="1" applyProtection="1">
      <alignment/>
      <protection/>
    </xf>
    <xf numFmtId="0" fontId="81" fillId="0" borderId="11" xfId="0" applyNumberFormat="1" applyFont="1" applyFill="1" applyBorder="1" applyAlignment="1" applyProtection="1">
      <alignment horizontal="center" vertical="center" wrapText="1"/>
      <protection hidden="1"/>
    </xf>
    <xf numFmtId="0" fontId="15" fillId="0" borderId="0" xfId="0" applyNumberFormat="1" applyFont="1" applyFill="1" applyBorder="1" applyAlignment="1" applyProtection="1">
      <alignment horizontal="center" wrapText="1"/>
      <protection hidden="1"/>
    </xf>
    <xf numFmtId="1" fontId="10" fillId="0" borderId="0" xfId="0" applyNumberFormat="1" applyFont="1" applyFill="1" applyBorder="1" applyAlignment="1" applyProtection="1">
      <alignment horizontal="left" vertical="top" wrapText="1"/>
      <protection hidden="1"/>
    </xf>
    <xf numFmtId="0" fontId="0" fillId="0" borderId="0" xfId="0" applyNumberFormat="1" applyFont="1" applyBorder="1" applyAlignment="1" applyProtection="1">
      <alignment vertical="center" wrapText="1"/>
      <protection hidden="1"/>
    </xf>
    <xf numFmtId="0" fontId="10" fillId="38" borderId="42" xfId="0" applyNumberFormat="1" applyFont="1" applyFill="1" applyBorder="1" applyAlignment="1" applyProtection="1">
      <alignment horizontal="left" wrapText="1"/>
      <protection locked="0"/>
    </xf>
    <xf numFmtId="0" fontId="0" fillId="0" borderId="42" xfId="0" applyBorder="1" applyAlignment="1" applyProtection="1">
      <alignment horizontal="left"/>
      <protection locked="0"/>
    </xf>
    <xf numFmtId="0" fontId="0" fillId="0" borderId="49" xfId="0" applyBorder="1" applyAlignment="1" applyProtection="1">
      <alignment horizontal="left"/>
      <protection locked="0"/>
    </xf>
    <xf numFmtId="0" fontId="0" fillId="38" borderId="50" xfId="0" applyNumberFormat="1" applyFont="1" applyFill="1" applyBorder="1" applyAlignment="1" applyProtection="1">
      <alignment horizontal="right"/>
      <protection hidden="1"/>
    </xf>
    <xf numFmtId="0" fontId="0" fillId="38" borderId="42" xfId="0" applyNumberFormat="1" applyFont="1" applyFill="1" applyBorder="1" applyAlignment="1" applyProtection="1">
      <alignment horizontal="right"/>
      <protection hidden="1"/>
    </xf>
    <xf numFmtId="0" fontId="0" fillId="0" borderId="0" xfId="0" applyNumberFormat="1" applyFont="1" applyFill="1" applyBorder="1" applyAlignment="1" applyProtection="1">
      <alignment horizontal="left" vertical="top"/>
      <protection hidden="1"/>
    </xf>
    <xf numFmtId="0" fontId="0" fillId="0" borderId="0" xfId="0" applyNumberFormat="1" applyFont="1" applyAlignment="1" applyProtection="1">
      <alignment/>
      <protection hidden="1"/>
    </xf>
    <xf numFmtId="0" fontId="10" fillId="36" borderId="11" xfId="0" applyNumberFormat="1" applyFont="1" applyFill="1" applyBorder="1" applyAlignment="1" applyProtection="1">
      <alignment horizontal="center" vertical="center" wrapText="1"/>
      <protection hidden="1"/>
    </xf>
    <xf numFmtId="0" fontId="16" fillId="34" borderId="31" xfId="0" applyNumberFormat="1" applyFont="1" applyFill="1" applyBorder="1" applyAlignment="1" applyProtection="1">
      <alignment vertical="center" wrapText="1"/>
      <protection locked="0"/>
    </xf>
    <xf numFmtId="0" fontId="17" fillId="0" borderId="25" xfId="0" applyNumberFormat="1" applyFont="1" applyBorder="1" applyAlignment="1" applyProtection="1">
      <alignment vertical="center"/>
      <protection locked="0"/>
    </xf>
    <xf numFmtId="0" fontId="10" fillId="36" borderId="12" xfId="0" applyNumberFormat="1" applyFont="1" applyFill="1" applyBorder="1" applyAlignment="1" applyProtection="1">
      <alignment horizontal="center" vertical="center" wrapText="1"/>
      <protection hidden="1"/>
    </xf>
    <xf numFmtId="0" fontId="10" fillId="36" borderId="16" xfId="0" applyNumberFormat="1" applyFont="1" applyFill="1" applyBorder="1" applyAlignment="1" applyProtection="1">
      <alignment horizontal="center" vertical="center" wrapText="1"/>
      <protection hidden="1"/>
    </xf>
    <xf numFmtId="0" fontId="0" fillId="36" borderId="13" xfId="0" applyNumberFormat="1" applyFont="1" applyFill="1" applyBorder="1" applyAlignment="1" applyProtection="1">
      <alignment horizontal="center" vertical="center" wrapText="1"/>
      <protection hidden="1"/>
    </xf>
    <xf numFmtId="0" fontId="0" fillId="36" borderId="12" xfId="0" applyNumberFormat="1" applyFont="1" applyFill="1" applyBorder="1" applyAlignment="1" applyProtection="1">
      <alignment horizontal="center" vertical="center" wrapText="1"/>
      <protection hidden="1"/>
    </xf>
    <xf numFmtId="0" fontId="0" fillId="36" borderId="16" xfId="0" applyNumberFormat="1" applyFont="1" applyFill="1" applyBorder="1" applyAlignment="1" applyProtection="1">
      <alignment horizontal="center" vertical="center" wrapText="1"/>
      <protection hidden="1"/>
    </xf>
    <xf numFmtId="0" fontId="10" fillId="36" borderId="29" xfId="0" applyNumberFormat="1" applyFont="1" applyFill="1" applyBorder="1" applyAlignment="1" applyProtection="1">
      <alignment horizontal="center" vertical="center" wrapText="1"/>
      <protection hidden="1"/>
    </xf>
    <xf numFmtId="0" fontId="10" fillId="36" borderId="18" xfId="0" applyNumberFormat="1" applyFont="1" applyFill="1" applyBorder="1" applyAlignment="1" applyProtection="1">
      <alignment horizontal="center" vertical="center" wrapText="1"/>
      <protection hidden="1"/>
    </xf>
    <xf numFmtId="0" fontId="10" fillId="36" borderId="13" xfId="0" applyNumberFormat="1" applyFont="1" applyFill="1" applyBorder="1" applyAlignment="1" applyProtection="1">
      <alignment horizontal="center" vertical="center" wrapText="1"/>
      <protection hidden="1"/>
    </xf>
    <xf numFmtId="0" fontId="10" fillId="36" borderId="25" xfId="0" applyNumberFormat="1"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1">
    <dxf>
      <font>
        <color rgb="FFC00000"/>
      </font>
    </dxf>
    <dxf>
      <font>
        <color rgb="FFC00000"/>
      </font>
    </dxf>
    <dxf>
      <font>
        <color indexed="22"/>
      </font>
    </dxf>
    <dxf>
      <font>
        <color indexed="10"/>
      </font>
    </dxf>
    <dxf>
      <font>
        <color rgb="FFC0000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rgb="FFC00000"/>
      </font>
    </dxf>
    <dxf>
      <font>
        <color indexed="22"/>
      </font>
    </dxf>
    <dxf>
      <font>
        <color indexed="10"/>
      </font>
    </dxf>
    <dxf>
      <font>
        <color indexed="22"/>
      </font>
    </dxf>
    <dxf>
      <font>
        <color indexed="10"/>
      </font>
    </dxf>
    <dxf>
      <font>
        <color rgb="FF448A46"/>
      </font>
    </dxf>
    <dxf>
      <font>
        <color rgb="FFC00000"/>
      </font>
    </dxf>
    <dxf>
      <font>
        <color indexed="22"/>
      </font>
    </dxf>
    <dxf>
      <font>
        <color indexed="10"/>
      </font>
    </dxf>
    <dxf>
      <font>
        <color indexed="22"/>
      </font>
    </dxf>
    <dxf>
      <font>
        <color indexed="10"/>
      </font>
    </dxf>
    <dxf>
      <font>
        <color indexed="22"/>
      </font>
    </dxf>
    <dxf>
      <font>
        <color indexed="10"/>
      </font>
    </dxf>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10"/>
      </font>
    </dxf>
    <dxf>
      <font>
        <color indexed="54"/>
      </font>
    </dxf>
    <dxf>
      <font>
        <color indexed="22"/>
      </font>
    </dxf>
    <dxf>
      <font>
        <color indexed="10"/>
      </font>
    </dxf>
    <dxf>
      <font>
        <color indexed="10"/>
      </font>
    </dxf>
    <dxf>
      <font>
        <color indexed="54"/>
      </font>
    </dxf>
    <dxf>
      <font>
        <color indexed="10"/>
      </font>
    </dxf>
    <dxf>
      <font>
        <color indexed="22"/>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10"/>
      </font>
    </dxf>
    <dxf>
      <font>
        <color indexed="22"/>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25"/>
          <c:h val="1"/>
        </c:manualLayout>
      </c:layout>
      <c:barChart>
        <c:barDir val="col"/>
        <c:grouping val="clustered"/>
        <c:varyColors val="0"/>
        <c:ser>
          <c:idx val="0"/>
          <c:order val="0"/>
          <c:spPr>
            <a:solidFill>
              <a:srgbClr val="C0C0C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val>
            <c:numRef>
              <c:f>'Existing Home Checklist'!$L$6:$P$6</c:f>
              <c:numCache/>
            </c:numRef>
          </c:val>
        </c:ser>
        <c:ser>
          <c:idx val="1"/>
          <c:order val="1"/>
          <c:spPr>
            <a:solidFill>
              <a:srgbClr val="9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val>
            <c:numRef>
              <c:f>'Existing Home Checklist'!$L$7:$P$7</c:f>
              <c:numCache/>
            </c:numRef>
          </c:val>
        </c:ser>
        <c:gapWidth val="30"/>
        <c:axId val="20695167"/>
        <c:axId val="52038776"/>
      </c:barChart>
      <c:catAx>
        <c:axId val="20695167"/>
        <c:scaling>
          <c:orientation val="minMax"/>
        </c:scaling>
        <c:axPos val="b"/>
        <c:majorGridlines>
          <c:spPr>
            <a:ln w="12700">
              <a:solidFill>
                <a:srgbClr val="969696"/>
              </a:solidFill>
            </a:ln>
          </c:spPr>
        </c:majorGridlines>
        <c:delete val="0"/>
        <c:numFmt formatCode="General" sourceLinked="1"/>
        <c:majorTickMark val="out"/>
        <c:minorTickMark val="none"/>
        <c:tickLblPos val="none"/>
        <c:spPr>
          <a:ln w="12700">
            <a:solidFill>
              <a:srgbClr val="808080"/>
            </a:solidFill>
          </a:ln>
        </c:spPr>
        <c:crossAx val="52038776"/>
        <c:crossesAt val="0"/>
        <c:auto val="1"/>
        <c:lblOffset val="100"/>
        <c:tickLblSkip val="1"/>
        <c:noMultiLvlLbl val="0"/>
      </c:catAx>
      <c:valAx>
        <c:axId val="52038776"/>
        <c:scaling>
          <c:orientation val="minMax"/>
          <c:max val="120"/>
          <c:min val="0"/>
        </c:scaling>
        <c:axPos val="l"/>
        <c:majorGridlines>
          <c:spPr>
            <a:ln w="3175">
              <a:solidFill>
                <a:srgbClr val="C0C0C0"/>
              </a:solidFill>
            </a:ln>
          </c:spPr>
        </c:majorGridlines>
        <c:delete val="1"/>
        <c:majorTickMark val="out"/>
        <c:minorTickMark val="none"/>
        <c:tickLblPos val="nextTo"/>
        <c:crossAx val="20695167"/>
        <c:crossesAt val="1"/>
        <c:crossBetween val="between"/>
        <c:dispUnits/>
        <c:majorUnit val="20"/>
        <c:minorUnit val="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333333"/>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104775</xdr:rowOff>
    </xdr:from>
    <xdr:to>
      <xdr:col>16</xdr:col>
      <xdr:colOff>0</xdr:colOff>
      <xdr:row>0</xdr:row>
      <xdr:rowOff>304800</xdr:rowOff>
    </xdr:to>
    <xdr:sp>
      <xdr:nvSpPr>
        <xdr:cNvPr id="1" name="Text Box 4"/>
        <xdr:cNvSpPr txBox="1">
          <a:spLocks noChangeArrowheads="1"/>
        </xdr:cNvSpPr>
      </xdr:nvSpPr>
      <xdr:spPr>
        <a:xfrm>
          <a:off x="8201025" y="104775"/>
          <a:ext cx="0"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date: _____________</a:t>
          </a:r>
        </a:p>
      </xdr:txBody>
    </xdr:sp>
    <xdr:clientData/>
  </xdr:twoCellAnchor>
  <xdr:twoCellAnchor>
    <xdr:from>
      <xdr:col>10</xdr:col>
      <xdr:colOff>323850</xdr:colOff>
      <xdr:row>4</xdr:row>
      <xdr:rowOff>257175</xdr:rowOff>
    </xdr:from>
    <xdr:to>
      <xdr:col>16</xdr:col>
      <xdr:colOff>47625</xdr:colOff>
      <xdr:row>6</xdr:row>
      <xdr:rowOff>838200</xdr:rowOff>
    </xdr:to>
    <xdr:graphicFrame>
      <xdr:nvGraphicFramePr>
        <xdr:cNvPr id="2" name="Chart 406"/>
        <xdr:cNvGraphicFramePr/>
      </xdr:nvGraphicFramePr>
      <xdr:xfrm>
        <a:off x="6000750" y="1343025"/>
        <a:ext cx="2247900" cy="1428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247650</xdr:colOff>
      <xdr:row>0</xdr:row>
      <xdr:rowOff>57150</xdr:rowOff>
    </xdr:from>
    <xdr:to>
      <xdr:col>15</xdr:col>
      <xdr:colOff>180975</xdr:colOff>
      <xdr:row>1</xdr:row>
      <xdr:rowOff>323850</xdr:rowOff>
    </xdr:to>
    <xdr:pic>
      <xdr:nvPicPr>
        <xdr:cNvPr id="3" name="Picture 1"/>
        <xdr:cNvPicPr preferRelativeResize="1">
          <a:picLocks noChangeAspect="1"/>
        </xdr:cNvPicPr>
      </xdr:nvPicPr>
      <xdr:blipFill>
        <a:blip r:embed="rId2"/>
        <a:stretch>
          <a:fillRect/>
        </a:stretch>
      </xdr:blipFill>
      <xdr:spPr>
        <a:xfrm>
          <a:off x="5924550" y="57150"/>
          <a:ext cx="20288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360"/>
  <sheetViews>
    <sheetView showGridLines="0" showZeros="0" tabSelected="1" view="pageBreakPreview" zoomScale="120" zoomScaleSheetLayoutView="120" workbookViewId="0" topLeftCell="A285">
      <selection activeCell="J99" sqref="J99"/>
    </sheetView>
  </sheetViews>
  <sheetFormatPr defaultColWidth="9.140625" defaultRowHeight="12.75"/>
  <cols>
    <col min="1" max="1" width="7.7109375" style="55" customWidth="1"/>
    <col min="2" max="2" width="8.8515625" style="55" hidden="1" customWidth="1"/>
    <col min="3" max="3" width="8.57421875" style="55" hidden="1" customWidth="1"/>
    <col min="4" max="5" width="4.00390625" style="55" hidden="1" customWidth="1"/>
    <col min="6" max="6" width="5.421875" style="55" hidden="1" customWidth="1"/>
    <col min="7" max="7" width="4.00390625" style="55" hidden="1" customWidth="1"/>
    <col min="8" max="8" width="5.8515625" style="55" hidden="1" customWidth="1"/>
    <col min="9" max="9" width="4.00390625" style="55" hidden="1" customWidth="1"/>
    <col min="10" max="10" width="77.421875" style="169" customWidth="1"/>
    <col min="11" max="11" width="5.7109375" style="170" customWidth="1"/>
    <col min="12" max="16" width="6.421875" style="171" customWidth="1"/>
    <col min="17" max="17" width="4.7109375" style="120" customWidth="1"/>
    <col min="18" max="18" width="9.140625" style="54" customWidth="1"/>
    <col min="19" max="19" width="5.57421875" style="55" customWidth="1"/>
    <col min="20" max="20" width="5.00390625" style="55" customWidth="1"/>
    <col min="21" max="21" width="4.421875" style="55" customWidth="1"/>
    <col min="22" max="23" width="9.140625" style="55" customWidth="1"/>
    <col min="24" max="24" width="25.57421875" style="206" customWidth="1"/>
    <col min="25" max="25" width="9.140625" style="55" customWidth="1"/>
    <col min="26" max="26" width="36.140625" style="55" customWidth="1"/>
    <col min="27" max="16384" width="9.140625" style="55" customWidth="1"/>
  </cols>
  <sheetData>
    <row r="1" spans="1:24" s="45" customFormat="1" ht="31.5" customHeight="1">
      <c r="A1" s="38" t="s">
        <v>124</v>
      </c>
      <c r="B1" s="39"/>
      <c r="C1" s="39"/>
      <c r="D1" s="39"/>
      <c r="E1" s="39"/>
      <c r="F1" s="39"/>
      <c r="G1" s="39"/>
      <c r="H1" s="39"/>
      <c r="I1" s="39"/>
      <c r="J1" s="40"/>
      <c r="K1" s="41"/>
      <c r="L1" s="42"/>
      <c r="M1" s="42"/>
      <c r="N1" s="43"/>
      <c r="O1" s="42"/>
      <c r="P1" s="42"/>
      <c r="Q1" s="295"/>
      <c r="R1" s="44"/>
      <c r="S1" s="45">
        <v>0</v>
      </c>
      <c r="X1" s="202"/>
    </row>
    <row r="2" spans="1:24" s="45" customFormat="1" ht="29.25" customHeight="1">
      <c r="A2" s="373" t="s">
        <v>320</v>
      </c>
      <c r="B2" s="373"/>
      <c r="C2" s="373"/>
      <c r="D2" s="373"/>
      <c r="E2" s="373"/>
      <c r="F2" s="373"/>
      <c r="G2" s="373"/>
      <c r="H2" s="373"/>
      <c r="I2" s="373"/>
      <c r="J2" s="373"/>
      <c r="Q2" s="47"/>
      <c r="R2" s="44"/>
      <c r="S2" s="44">
        <f>IF(T2&gt;0,1,0)</f>
        <v>0</v>
      </c>
      <c r="T2" s="47">
        <f>IF(A357="Existing Home",K312,0)</f>
        <v>0</v>
      </c>
      <c r="X2" s="203"/>
    </row>
    <row r="3" spans="1:24" s="45" customFormat="1" ht="15" customHeight="1">
      <c r="A3" s="373"/>
      <c r="B3" s="373"/>
      <c r="C3" s="373"/>
      <c r="D3" s="373"/>
      <c r="E3" s="373"/>
      <c r="F3" s="373"/>
      <c r="G3" s="373"/>
      <c r="H3" s="373"/>
      <c r="I3" s="373"/>
      <c r="J3" s="373"/>
      <c r="K3" s="377" t="s">
        <v>161</v>
      </c>
      <c r="L3" s="378"/>
      <c r="M3" s="378"/>
      <c r="N3" s="374" t="s">
        <v>125</v>
      </c>
      <c r="O3" s="375"/>
      <c r="P3" s="376"/>
      <c r="Q3" s="330"/>
      <c r="R3" s="44"/>
      <c r="S3" s="44"/>
      <c r="T3" s="47"/>
      <c r="W3" s="174"/>
      <c r="X3" s="203"/>
    </row>
    <row r="4" spans="1:24" s="45" customFormat="1" ht="9.75" customHeight="1">
      <c r="A4" s="373"/>
      <c r="B4" s="373"/>
      <c r="C4" s="373"/>
      <c r="D4" s="373"/>
      <c r="E4" s="373"/>
      <c r="F4" s="373"/>
      <c r="G4" s="373"/>
      <c r="H4" s="373"/>
      <c r="I4" s="373"/>
      <c r="J4" s="373"/>
      <c r="K4" s="41"/>
      <c r="L4" s="48"/>
      <c r="M4" s="46"/>
      <c r="N4" s="371"/>
      <c r="O4" s="371"/>
      <c r="P4" s="371"/>
      <c r="Q4" s="292"/>
      <c r="R4" s="44"/>
      <c r="S4" s="44">
        <f>IF(T4="Achieved",1,0)</f>
        <v>0</v>
      </c>
      <c r="T4" s="49">
        <f>IF(AND(A358="GreenPoint Elements",A336="Project has met all recommended minimum requirements for GreenPoint Rated Elements"),"Achieved",0)</f>
        <v>0</v>
      </c>
      <c r="W4" s="177"/>
      <c r="X4" s="203"/>
    </row>
    <row r="5" spans="1:24" s="45" customFormat="1" ht="28.5" customHeight="1">
      <c r="A5" s="373"/>
      <c r="B5" s="373"/>
      <c r="C5" s="373"/>
      <c r="D5" s="373"/>
      <c r="E5" s="373"/>
      <c r="F5" s="373"/>
      <c r="G5" s="373"/>
      <c r="H5" s="373"/>
      <c r="I5" s="373"/>
      <c r="J5" s="373"/>
      <c r="K5" s="379" t="s">
        <v>117</v>
      </c>
      <c r="L5" s="380"/>
      <c r="M5" s="380"/>
      <c r="N5" s="372">
        <f>K312</f>
        <v>0</v>
      </c>
      <c r="O5" s="372"/>
      <c r="P5" s="372"/>
      <c r="Q5" s="293"/>
      <c r="R5" s="10"/>
      <c r="S5" s="10">
        <f>IF(T5="Not Achieved",1,0)</f>
        <v>0</v>
      </c>
      <c r="T5" s="49">
        <f>IF(AND(A358="GreenPoint Elements",A336="Project has not yet met the following recommended minimum requirements for GreenPoint Rated Elements:"),"Not Achieved",0)</f>
        <v>0</v>
      </c>
      <c r="X5" s="204"/>
    </row>
    <row r="6" spans="1:30" s="45" customFormat="1" ht="38.25" customHeight="1">
      <c r="A6" s="373"/>
      <c r="B6" s="373"/>
      <c r="C6" s="373"/>
      <c r="D6" s="373"/>
      <c r="E6" s="373"/>
      <c r="F6" s="373"/>
      <c r="G6" s="373"/>
      <c r="H6" s="373"/>
      <c r="I6" s="373"/>
      <c r="J6" s="373"/>
      <c r="K6" s="51"/>
      <c r="L6" s="183">
        <v>0</v>
      </c>
      <c r="M6" s="183">
        <f>IF(N3="Whole House",20,8)</f>
        <v>20</v>
      </c>
      <c r="N6" s="183">
        <f>IF(N3="Whole House",5,2)</f>
        <v>5</v>
      </c>
      <c r="O6" s="183">
        <f>IF(N3="Whole House",6,2)</f>
        <v>6</v>
      </c>
      <c r="P6" s="183">
        <f>IF(N3="Whole House",8,4)</f>
        <v>8</v>
      </c>
      <c r="Q6" s="305"/>
      <c r="R6" s="1"/>
      <c r="X6" s="205"/>
      <c r="Y6" s="164"/>
      <c r="AA6" s="161"/>
      <c r="AB6" s="161"/>
      <c r="AC6" s="161"/>
      <c r="AD6" s="161"/>
    </row>
    <row r="7" spans="1:30" s="45" customFormat="1" ht="133.5" customHeight="1">
      <c r="A7" s="373"/>
      <c r="B7" s="373"/>
      <c r="C7" s="373"/>
      <c r="D7" s="373"/>
      <c r="E7" s="373"/>
      <c r="F7" s="373"/>
      <c r="G7" s="373"/>
      <c r="H7" s="373"/>
      <c r="I7" s="373"/>
      <c r="J7" s="373"/>
      <c r="K7" s="52"/>
      <c r="L7" s="329">
        <f>L312</f>
        <v>0</v>
      </c>
      <c r="M7" s="329">
        <f>M312</f>
        <v>0</v>
      </c>
      <c r="N7" s="329">
        <f>N312</f>
        <v>0</v>
      </c>
      <c r="O7" s="329">
        <f>O312</f>
        <v>0</v>
      </c>
      <c r="P7" s="329">
        <f>P312</f>
        <v>0</v>
      </c>
      <c r="Q7" s="8"/>
      <c r="R7" s="50"/>
      <c r="X7" s="218"/>
      <c r="Y7" s="34"/>
      <c r="Z7" s="175"/>
      <c r="AA7" s="175"/>
      <c r="AB7" s="175"/>
      <c r="AC7" s="175"/>
      <c r="AD7" s="175"/>
    </row>
    <row r="8" spans="1:35" ht="55.5" customHeight="1">
      <c r="A8" s="382" t="s">
        <v>99</v>
      </c>
      <c r="B8" s="383"/>
      <c r="C8" s="383"/>
      <c r="D8" s="383"/>
      <c r="E8" s="383"/>
      <c r="F8" s="383"/>
      <c r="G8" s="383"/>
      <c r="H8" s="383"/>
      <c r="I8" s="383"/>
      <c r="J8" s="383"/>
      <c r="K8" s="2" t="s">
        <v>6</v>
      </c>
      <c r="L8" s="53" t="s">
        <v>111</v>
      </c>
      <c r="M8" s="53" t="s">
        <v>112</v>
      </c>
      <c r="N8" s="53" t="s">
        <v>113</v>
      </c>
      <c r="O8" s="53" t="s">
        <v>114</v>
      </c>
      <c r="P8" s="53" t="s">
        <v>115</v>
      </c>
      <c r="Q8" s="296"/>
      <c r="X8" s="331"/>
      <c r="Y8" s="332"/>
      <c r="Z8" s="332"/>
      <c r="AA8" s="332"/>
      <c r="AB8" s="332"/>
      <c r="AC8" s="332"/>
      <c r="AD8" s="332"/>
      <c r="AE8" s="332"/>
      <c r="AF8" s="332"/>
      <c r="AG8" s="332"/>
      <c r="AH8" s="56"/>
      <c r="AI8" s="56"/>
    </row>
    <row r="9" spans="1:35" ht="16.5" customHeight="1">
      <c r="A9" s="57" t="s">
        <v>53</v>
      </c>
      <c r="B9" s="58"/>
      <c r="C9" s="58"/>
      <c r="D9" s="58"/>
      <c r="E9" s="59"/>
      <c r="F9" s="59"/>
      <c r="G9" s="59"/>
      <c r="H9" s="59"/>
      <c r="I9" s="59"/>
      <c r="J9" s="60"/>
      <c r="K9" s="3"/>
      <c r="L9" s="386" t="s">
        <v>23</v>
      </c>
      <c r="M9" s="387"/>
      <c r="N9" s="387"/>
      <c r="O9" s="387"/>
      <c r="P9" s="388"/>
      <c r="Q9" s="306"/>
      <c r="R9" s="5"/>
      <c r="U9" s="61"/>
      <c r="V9" s="178"/>
      <c r="W9" s="61"/>
      <c r="X9" s="201"/>
      <c r="Y9" s="56"/>
      <c r="Z9" s="56"/>
      <c r="AA9" s="56"/>
      <c r="AB9" s="56"/>
      <c r="AC9" s="56"/>
      <c r="AD9" s="56"/>
      <c r="AE9" s="56"/>
      <c r="AF9" s="56"/>
      <c r="AG9" s="56"/>
      <c r="AH9" s="56"/>
      <c r="AI9" s="56"/>
    </row>
    <row r="10" spans="1:26" s="67" customFormat="1" ht="14.25" customHeight="1">
      <c r="A10" s="275" t="s">
        <v>172</v>
      </c>
      <c r="B10" s="251" t="b">
        <f>IF(A10="Yes",TRUE,FALSE)</f>
        <v>0</v>
      </c>
      <c r="C10" s="72" t="b">
        <f>B10</f>
        <v>0</v>
      </c>
      <c r="D10" s="72"/>
      <c r="E10" s="73">
        <f>IF(C10,2,0)</f>
        <v>0</v>
      </c>
      <c r="F10" s="73"/>
      <c r="G10" s="73"/>
      <c r="H10" s="73"/>
      <c r="I10" s="73"/>
      <c r="J10" s="317" t="s">
        <v>261</v>
      </c>
      <c r="K10" s="70">
        <f>SUM(D10:I10)</f>
        <v>0</v>
      </c>
      <c r="L10" s="13">
        <v>2</v>
      </c>
      <c r="M10" s="11"/>
      <c r="N10" s="11"/>
      <c r="O10" s="11"/>
      <c r="P10" s="71"/>
      <c r="Q10" s="86"/>
      <c r="R10" s="5"/>
      <c r="U10" s="66"/>
      <c r="V10" s="178"/>
      <c r="W10" s="181"/>
      <c r="X10" s="201"/>
      <c r="Z10" s="316"/>
    </row>
    <row r="11" spans="1:24" ht="12.75">
      <c r="A11" s="333"/>
      <c r="B11" s="56"/>
      <c r="C11" s="68"/>
      <c r="D11" s="75"/>
      <c r="E11" s="69"/>
      <c r="F11" s="76"/>
      <c r="G11" s="76"/>
      <c r="H11" s="76"/>
      <c r="I11" s="76"/>
      <c r="J11" s="221" t="s">
        <v>18</v>
      </c>
      <c r="K11" s="70"/>
      <c r="L11" s="12"/>
      <c r="M11" s="12"/>
      <c r="N11" s="12"/>
      <c r="O11" s="12"/>
      <c r="P11" s="77"/>
      <c r="Q11" s="86"/>
      <c r="R11" s="5"/>
      <c r="U11" s="61"/>
      <c r="V11" s="78"/>
      <c r="W11" s="182"/>
      <c r="X11" s="207"/>
    </row>
    <row r="12" spans="1:17" ht="12.75" customHeight="1">
      <c r="A12" s="362">
        <v>0</v>
      </c>
      <c r="B12" s="56" t="b">
        <f>IF(A12&gt;0,TRUE,FALSE)</f>
        <v>0</v>
      </c>
      <c r="C12" s="63" t="b">
        <f>B12</f>
        <v>0</v>
      </c>
      <c r="D12" s="56"/>
      <c r="E12" s="64">
        <f>IF(A12&gt;=25,2,IF(A12&gt;=20,1.5,IF(A12&gt;=15,1,IF(A12&gt;=10,0.5,0))))</f>
        <v>0</v>
      </c>
      <c r="F12" s="64"/>
      <c r="G12" s="64"/>
      <c r="H12" s="64">
        <f>IF(A12&gt;=25,2,IF(A12&gt;=20,1.5,IF(A12&gt;=15,1,IF(A12&gt;=10,0.5,0))))</f>
        <v>0</v>
      </c>
      <c r="I12" s="79"/>
      <c r="J12" s="222" t="s">
        <v>253</v>
      </c>
      <c r="K12" s="70">
        <f>SUM(D12:I12)</f>
        <v>0</v>
      </c>
      <c r="L12" s="13">
        <v>2</v>
      </c>
      <c r="M12" s="11"/>
      <c r="N12" s="11"/>
      <c r="O12" s="11">
        <v>2</v>
      </c>
      <c r="P12" s="71"/>
      <c r="Q12" s="86"/>
    </row>
    <row r="13" spans="1:23" ht="12.75">
      <c r="A13" s="275" t="s">
        <v>172</v>
      </c>
      <c r="B13" s="251" t="b">
        <f>IF(A13="Yes",TRUE,FALSE)</f>
        <v>0</v>
      </c>
      <c r="C13" s="63" t="b">
        <f>B13</f>
        <v>0</v>
      </c>
      <c r="D13" s="56"/>
      <c r="E13" s="79"/>
      <c r="F13" s="79"/>
      <c r="G13" s="79"/>
      <c r="H13" s="79">
        <f>IF(C13,5,0)</f>
        <v>0</v>
      </c>
      <c r="I13" s="79"/>
      <c r="J13" s="222" t="s">
        <v>302</v>
      </c>
      <c r="K13" s="70">
        <f>H13</f>
        <v>0</v>
      </c>
      <c r="L13" s="13"/>
      <c r="M13" s="11"/>
      <c r="N13" s="11"/>
      <c r="O13" s="176" t="s">
        <v>301</v>
      </c>
      <c r="P13" s="71"/>
      <c r="Q13" s="86"/>
      <c r="V13" s="62"/>
      <c r="W13" s="180"/>
    </row>
    <row r="14" spans="1:23" ht="12.75">
      <c r="A14" s="334"/>
      <c r="B14" s="75"/>
      <c r="C14" s="68"/>
      <c r="D14" s="75"/>
      <c r="E14" s="76"/>
      <c r="F14" s="76"/>
      <c r="G14" s="76"/>
      <c r="H14" s="76"/>
      <c r="I14" s="76"/>
      <c r="J14" s="221" t="s">
        <v>83</v>
      </c>
      <c r="K14" s="81"/>
      <c r="L14" s="82"/>
      <c r="M14" s="82"/>
      <c r="N14" s="82"/>
      <c r="O14" s="82"/>
      <c r="P14" s="83"/>
      <c r="Q14" s="86"/>
      <c r="S14" s="179"/>
      <c r="V14" s="65"/>
      <c r="W14" s="180"/>
    </row>
    <row r="15" spans="1:23" ht="12.75">
      <c r="A15" s="335"/>
      <c r="B15" s="56"/>
      <c r="C15" s="63"/>
      <c r="D15" s="56"/>
      <c r="E15" s="79"/>
      <c r="F15" s="79"/>
      <c r="G15" s="79"/>
      <c r="H15" s="79"/>
      <c r="I15" s="79"/>
      <c r="J15" s="222" t="s">
        <v>126</v>
      </c>
      <c r="K15" s="85"/>
      <c r="L15" s="86"/>
      <c r="M15" s="86"/>
      <c r="N15" s="86"/>
      <c r="O15" s="86"/>
      <c r="P15" s="87"/>
      <c r="Q15" s="86"/>
      <c r="S15" s="84"/>
      <c r="V15" s="65"/>
      <c r="W15" s="180"/>
    </row>
    <row r="16" spans="1:23" ht="16.5" customHeight="1">
      <c r="A16" s="335"/>
      <c r="B16" s="56"/>
      <c r="C16" s="63"/>
      <c r="D16" s="56"/>
      <c r="E16" s="79"/>
      <c r="F16" s="79"/>
      <c r="G16" s="79"/>
      <c r="H16" s="79"/>
      <c r="I16" s="79"/>
      <c r="J16" s="223" t="s">
        <v>235</v>
      </c>
      <c r="K16" s="85"/>
      <c r="L16" s="86"/>
      <c r="M16" s="86"/>
      <c r="N16" s="86"/>
      <c r="O16" s="86"/>
      <c r="P16" s="87"/>
      <c r="Q16" s="86"/>
      <c r="V16" s="65"/>
      <c r="W16" s="80"/>
    </row>
    <row r="17" spans="1:22" ht="15.75" customHeight="1">
      <c r="A17" s="335"/>
      <c r="B17" s="56"/>
      <c r="C17" s="63"/>
      <c r="D17" s="56"/>
      <c r="E17" s="79"/>
      <c r="F17" s="79"/>
      <c r="G17" s="79"/>
      <c r="H17" s="79"/>
      <c r="I17" s="79"/>
      <c r="J17" s="223" t="s">
        <v>234</v>
      </c>
      <c r="K17" s="85"/>
      <c r="L17" s="86"/>
      <c r="M17" s="86"/>
      <c r="N17" s="86"/>
      <c r="O17" s="86"/>
      <c r="P17" s="87"/>
      <c r="Q17" s="86"/>
      <c r="V17" s="78"/>
    </row>
    <row r="18" spans="1:17" ht="15" customHeight="1">
      <c r="A18" s="335"/>
      <c r="B18" s="56"/>
      <c r="C18" s="63"/>
      <c r="D18" s="56"/>
      <c r="E18" s="79"/>
      <c r="F18" s="79"/>
      <c r="G18" s="79"/>
      <c r="H18" s="79"/>
      <c r="I18" s="79"/>
      <c r="J18" s="223" t="s">
        <v>233</v>
      </c>
      <c r="K18" s="85"/>
      <c r="L18" s="86"/>
      <c r="M18" s="86"/>
      <c r="N18" s="86"/>
      <c r="O18" s="86"/>
      <c r="P18" s="87"/>
      <c r="Q18" s="86"/>
    </row>
    <row r="19" spans="1:23" ht="21" customHeight="1">
      <c r="A19" s="335"/>
      <c r="B19" s="56"/>
      <c r="C19" s="63"/>
      <c r="D19" s="56"/>
      <c r="E19" s="79"/>
      <c r="F19" s="79"/>
      <c r="G19" s="79"/>
      <c r="H19" s="79"/>
      <c r="I19" s="79"/>
      <c r="J19" s="224" t="s">
        <v>100</v>
      </c>
      <c r="K19" s="85"/>
      <c r="L19" s="86"/>
      <c r="M19" s="86"/>
      <c r="N19" s="86"/>
      <c r="O19" s="86"/>
      <c r="P19" s="87"/>
      <c r="Q19" s="86"/>
      <c r="V19" s="178"/>
      <c r="W19" s="294"/>
    </row>
    <row r="20" spans="1:23" ht="15" customHeight="1">
      <c r="A20" s="335"/>
      <c r="B20" s="56"/>
      <c r="C20" s="63"/>
      <c r="D20" s="56"/>
      <c r="E20" s="79"/>
      <c r="F20" s="79"/>
      <c r="G20" s="79"/>
      <c r="H20" s="79"/>
      <c r="I20" s="79"/>
      <c r="J20" s="223" t="s">
        <v>237</v>
      </c>
      <c r="K20" s="85"/>
      <c r="L20" s="86"/>
      <c r="M20" s="86"/>
      <c r="N20" s="86"/>
      <c r="O20" s="86"/>
      <c r="P20" s="87"/>
      <c r="Q20" s="86"/>
      <c r="S20" s="147"/>
      <c r="T20" s="147"/>
      <c r="U20" s="147"/>
      <c r="V20" s="178"/>
      <c r="W20" s="294"/>
    </row>
    <row r="21" spans="1:22" ht="12" customHeight="1">
      <c r="A21" s="335"/>
      <c r="B21" s="56"/>
      <c r="C21" s="63"/>
      <c r="D21" s="56"/>
      <c r="E21" s="79"/>
      <c r="F21" s="79"/>
      <c r="G21" s="79"/>
      <c r="H21" s="79"/>
      <c r="I21" s="79"/>
      <c r="J21" s="132" t="s">
        <v>236</v>
      </c>
      <c r="K21" s="85"/>
      <c r="L21" s="86"/>
      <c r="M21" s="86"/>
      <c r="N21" s="86"/>
      <c r="O21" s="86"/>
      <c r="P21" s="87"/>
      <c r="Q21" s="86"/>
      <c r="S21" s="147"/>
      <c r="T21" s="147"/>
      <c r="U21" s="147"/>
      <c r="V21" s="178"/>
    </row>
    <row r="22" spans="1:22" ht="12.75">
      <c r="A22" s="335"/>
      <c r="B22" s="56"/>
      <c r="C22" s="63"/>
      <c r="D22" s="56"/>
      <c r="E22" s="79"/>
      <c r="F22" s="79"/>
      <c r="G22" s="79"/>
      <c r="H22" s="79"/>
      <c r="I22" s="79"/>
      <c r="J22" s="132" t="s">
        <v>238</v>
      </c>
      <c r="K22" s="85"/>
      <c r="L22" s="86"/>
      <c r="M22" s="86"/>
      <c r="N22" s="86"/>
      <c r="O22" s="86"/>
      <c r="P22" s="87"/>
      <c r="Q22" s="86"/>
      <c r="S22" s="147"/>
      <c r="T22" s="147"/>
      <c r="U22" s="147"/>
      <c r="V22" s="182"/>
    </row>
    <row r="23" spans="1:17" ht="27" customHeight="1">
      <c r="A23" s="336"/>
      <c r="B23" s="56"/>
      <c r="C23" s="63"/>
      <c r="D23" s="56"/>
      <c r="E23" s="79"/>
      <c r="F23" s="79"/>
      <c r="G23" s="79"/>
      <c r="H23" s="79"/>
      <c r="I23" s="79"/>
      <c r="J23" s="223" t="s">
        <v>254</v>
      </c>
      <c r="K23" s="88"/>
      <c r="L23" s="89"/>
      <c r="M23" s="89"/>
      <c r="N23" s="89"/>
      <c r="O23" s="89"/>
      <c r="P23" s="90"/>
      <c r="Q23" s="86"/>
    </row>
    <row r="24" spans="1:24" ht="15" customHeight="1">
      <c r="A24" s="275" t="s">
        <v>172</v>
      </c>
      <c r="B24" s="56" t="b">
        <f>IF(A24="Yes",TRUE,FALSE)</f>
        <v>0</v>
      </c>
      <c r="C24" s="63" t="b">
        <f>B24</f>
        <v>0</v>
      </c>
      <c r="D24" s="56"/>
      <c r="E24" s="79">
        <f>IF(OR(C25,C24),1,0)</f>
        <v>0</v>
      </c>
      <c r="F24" s="79"/>
      <c r="G24" s="79"/>
      <c r="H24" s="79"/>
      <c r="I24" s="79"/>
      <c r="J24" s="223" t="s">
        <v>81</v>
      </c>
      <c r="K24" s="70">
        <f>SUM(D24:I24)</f>
        <v>0</v>
      </c>
      <c r="L24" s="12">
        <v>1</v>
      </c>
      <c r="M24" s="11"/>
      <c r="N24" s="11"/>
      <c r="O24" s="11"/>
      <c r="P24" s="71"/>
      <c r="Q24" s="86"/>
      <c r="X24" s="215"/>
    </row>
    <row r="25" spans="1:17" ht="14.25" customHeight="1">
      <c r="A25" s="275" t="s">
        <v>172</v>
      </c>
      <c r="B25" s="56" t="b">
        <f>IF(A25="Yes",TRUE,FALSE)</f>
        <v>0</v>
      </c>
      <c r="C25" s="63" t="b">
        <f>B25</f>
        <v>0</v>
      </c>
      <c r="D25" s="56"/>
      <c r="E25" s="79">
        <f>IF(C25,1,0)</f>
        <v>0</v>
      </c>
      <c r="F25" s="79"/>
      <c r="G25" s="79"/>
      <c r="H25" s="79"/>
      <c r="I25" s="79"/>
      <c r="J25" s="223" t="s">
        <v>82</v>
      </c>
      <c r="K25" s="70">
        <f>SUM(D25:I25)</f>
        <v>0</v>
      </c>
      <c r="L25" s="12">
        <v>1</v>
      </c>
      <c r="M25" s="11"/>
      <c r="N25" s="11"/>
      <c r="O25" s="11"/>
      <c r="P25" s="71"/>
      <c r="Q25" s="86"/>
    </row>
    <row r="26" spans="1:17" ht="21.75" customHeight="1">
      <c r="A26" s="275" t="s">
        <v>172</v>
      </c>
      <c r="B26" s="56" t="b">
        <f>IF(A26="Yes",TRUE,FALSE)</f>
        <v>0</v>
      </c>
      <c r="C26" s="63" t="b">
        <f>B26</f>
        <v>0</v>
      </c>
      <c r="D26" s="56"/>
      <c r="E26" s="79">
        <f>IF(C26,1,0)</f>
        <v>0</v>
      </c>
      <c r="F26" s="79"/>
      <c r="G26" s="79"/>
      <c r="H26" s="79"/>
      <c r="I26" s="79"/>
      <c r="J26" s="225" t="s">
        <v>286</v>
      </c>
      <c r="K26" s="70">
        <f>SUM(D26:I26)</f>
        <v>0</v>
      </c>
      <c r="L26" s="13">
        <v>1</v>
      </c>
      <c r="M26" s="11"/>
      <c r="N26" s="11"/>
      <c r="O26" s="11"/>
      <c r="P26" s="71"/>
      <c r="Q26" s="86"/>
    </row>
    <row r="27" spans="1:17" ht="15.75" customHeight="1">
      <c r="A27" s="275" t="s">
        <v>172</v>
      </c>
      <c r="B27" s="56" t="b">
        <f>IF(A27="Yes",TRUE,FALSE)</f>
        <v>0</v>
      </c>
      <c r="C27" s="63" t="b">
        <f>B27</f>
        <v>0</v>
      </c>
      <c r="D27" s="56"/>
      <c r="E27" s="79">
        <f>IF(C27,1,0)</f>
        <v>0</v>
      </c>
      <c r="F27" s="79"/>
      <c r="G27" s="79"/>
      <c r="H27" s="79"/>
      <c r="I27" s="79"/>
      <c r="J27" s="222" t="s">
        <v>88</v>
      </c>
      <c r="K27" s="70">
        <f>SUM(D27:I27)</f>
        <v>0</v>
      </c>
      <c r="L27" s="13">
        <v>1</v>
      </c>
      <c r="M27" s="11"/>
      <c r="N27" s="11"/>
      <c r="O27" s="11"/>
      <c r="P27" s="71"/>
      <c r="Q27" s="86"/>
    </row>
    <row r="28" spans="1:17" ht="15" customHeight="1">
      <c r="A28" s="334"/>
      <c r="B28" s="56"/>
      <c r="C28" s="63"/>
      <c r="D28" s="56"/>
      <c r="E28" s="79"/>
      <c r="F28" s="79"/>
      <c r="G28" s="79"/>
      <c r="H28" s="79"/>
      <c r="I28" s="79"/>
      <c r="J28" s="226" t="s">
        <v>84</v>
      </c>
      <c r="K28" s="81"/>
      <c r="L28" s="91"/>
      <c r="M28" s="82"/>
      <c r="N28" s="82"/>
      <c r="O28" s="82"/>
      <c r="P28" s="83"/>
      <c r="Q28" s="86"/>
    </row>
    <row r="29" spans="1:17" ht="12.75" customHeight="1">
      <c r="A29" s="335"/>
      <c r="B29" s="56"/>
      <c r="C29" s="63"/>
      <c r="D29" s="56"/>
      <c r="E29" s="79"/>
      <c r="F29" s="79"/>
      <c r="G29" s="79"/>
      <c r="H29" s="79"/>
      <c r="I29" s="79"/>
      <c r="J29" s="226" t="s">
        <v>85</v>
      </c>
      <c r="K29" s="85"/>
      <c r="L29" s="92"/>
      <c r="M29" s="86"/>
      <c r="N29" s="86"/>
      <c r="O29" s="86"/>
      <c r="P29" s="87"/>
      <c r="Q29" s="86"/>
    </row>
    <row r="30" spans="1:17" ht="12.75" customHeight="1">
      <c r="A30" s="335"/>
      <c r="B30" s="56"/>
      <c r="C30" s="63"/>
      <c r="D30" s="56"/>
      <c r="E30" s="79"/>
      <c r="F30" s="79"/>
      <c r="G30" s="79"/>
      <c r="H30" s="79"/>
      <c r="I30" s="79"/>
      <c r="J30" s="226" t="s">
        <v>86</v>
      </c>
      <c r="K30" s="85"/>
      <c r="L30" s="92"/>
      <c r="M30" s="86"/>
      <c r="N30" s="86"/>
      <c r="O30" s="86"/>
      <c r="P30" s="87"/>
      <c r="Q30" s="86"/>
    </row>
    <row r="31" spans="1:17" ht="12.75" customHeight="1">
      <c r="A31" s="360"/>
      <c r="B31" s="94"/>
      <c r="C31" s="72"/>
      <c r="D31" s="94"/>
      <c r="E31" s="95"/>
      <c r="F31" s="95"/>
      <c r="G31" s="95"/>
      <c r="H31" s="95"/>
      <c r="I31" s="95"/>
      <c r="J31" s="227" t="s">
        <v>87</v>
      </c>
      <c r="K31" s="88"/>
      <c r="L31" s="96"/>
      <c r="M31" s="89"/>
      <c r="N31" s="89"/>
      <c r="O31" s="89"/>
      <c r="P31" s="90"/>
      <c r="Q31" s="86"/>
    </row>
    <row r="32" spans="1:17" ht="12.75">
      <c r="A32" s="336"/>
      <c r="B32" s="75"/>
      <c r="C32" s="68"/>
      <c r="D32" s="75"/>
      <c r="E32" s="76"/>
      <c r="F32" s="76"/>
      <c r="G32" s="76"/>
      <c r="H32" s="76"/>
      <c r="I32" s="76"/>
      <c r="J32" s="221" t="s">
        <v>14</v>
      </c>
      <c r="K32" s="70"/>
      <c r="L32" s="12"/>
      <c r="M32" s="12"/>
      <c r="N32" s="12"/>
      <c r="O32" s="12"/>
      <c r="P32" s="77"/>
      <c r="Q32" s="86"/>
    </row>
    <row r="33" spans="1:24" s="67" customFormat="1" ht="15" customHeight="1">
      <c r="A33" s="275" t="s">
        <v>172</v>
      </c>
      <c r="B33" s="63" t="b">
        <f>IF(A33="Yes",TRUE,FALSE)</f>
        <v>0</v>
      </c>
      <c r="C33" s="63" t="b">
        <f>B33</f>
        <v>0</v>
      </c>
      <c r="D33" s="63"/>
      <c r="E33" s="79">
        <f aca="true" t="shared" si="0" ref="E33:E40">IF(C33,1,0)</f>
        <v>0</v>
      </c>
      <c r="F33" s="64"/>
      <c r="G33" s="64"/>
      <c r="H33" s="64"/>
      <c r="I33" s="64"/>
      <c r="J33" s="222" t="s">
        <v>16</v>
      </c>
      <c r="K33" s="70">
        <f>SUM(D33:I33)</f>
        <v>0</v>
      </c>
      <c r="L33" s="13">
        <v>1</v>
      </c>
      <c r="M33" s="11"/>
      <c r="N33" s="11"/>
      <c r="O33" s="11"/>
      <c r="P33" s="71"/>
      <c r="Q33" s="86"/>
      <c r="R33" s="97"/>
      <c r="X33" s="208"/>
    </row>
    <row r="34" spans="1:24" s="67" customFormat="1" ht="12.75" customHeight="1">
      <c r="A34" s="275" t="s">
        <v>172</v>
      </c>
      <c r="B34" s="63" t="b">
        <f>IF(A34="Yes",TRUE,FALSE)</f>
        <v>0</v>
      </c>
      <c r="C34" s="63" t="b">
        <f>B34</f>
        <v>0</v>
      </c>
      <c r="D34" s="63"/>
      <c r="E34" s="79">
        <f t="shared" si="0"/>
        <v>0</v>
      </c>
      <c r="F34" s="64"/>
      <c r="G34" s="64"/>
      <c r="H34" s="64"/>
      <c r="I34" s="64"/>
      <c r="J34" s="222" t="s">
        <v>17</v>
      </c>
      <c r="K34" s="70">
        <f>SUM(D34:I34)</f>
        <v>0</v>
      </c>
      <c r="L34" s="13">
        <v>1</v>
      </c>
      <c r="M34" s="11"/>
      <c r="N34" s="11"/>
      <c r="O34" s="11"/>
      <c r="P34" s="71"/>
      <c r="Q34" s="86"/>
      <c r="R34" s="97"/>
      <c r="X34" s="216"/>
    </row>
    <row r="35" spans="1:24" s="67" customFormat="1" ht="14.25" customHeight="1">
      <c r="A35" s="275" t="s">
        <v>172</v>
      </c>
      <c r="B35" s="63" t="b">
        <f>IF(A35="Yes",TRUE,FALSE)</f>
        <v>0</v>
      </c>
      <c r="C35" s="72" t="b">
        <f>B35</f>
        <v>0</v>
      </c>
      <c r="D35" s="72"/>
      <c r="E35" s="95">
        <f t="shared" si="0"/>
        <v>0</v>
      </c>
      <c r="F35" s="73"/>
      <c r="G35" s="73"/>
      <c r="H35" s="73"/>
      <c r="I35" s="73"/>
      <c r="J35" s="220" t="s">
        <v>8</v>
      </c>
      <c r="K35" s="70">
        <f>SUM(D35:I35)</f>
        <v>0</v>
      </c>
      <c r="L35" s="13">
        <v>1</v>
      </c>
      <c r="M35" s="11"/>
      <c r="N35" s="11"/>
      <c r="O35" s="11"/>
      <c r="P35" s="71"/>
      <c r="Q35" s="86"/>
      <c r="R35" s="97"/>
      <c r="X35" s="216"/>
    </row>
    <row r="36" spans="1:24" s="67" customFormat="1" ht="15.75" customHeight="1">
      <c r="A36" s="337"/>
      <c r="B36" s="68"/>
      <c r="C36" s="68"/>
      <c r="D36" s="68"/>
      <c r="E36" s="76"/>
      <c r="F36" s="69"/>
      <c r="G36" s="69"/>
      <c r="H36" s="69"/>
      <c r="I36" s="69"/>
      <c r="J36" s="221" t="s">
        <v>15</v>
      </c>
      <c r="K36" s="70"/>
      <c r="L36" s="12"/>
      <c r="M36" s="12"/>
      <c r="N36" s="12"/>
      <c r="O36" s="12"/>
      <c r="P36" s="77"/>
      <c r="Q36" s="86"/>
      <c r="R36" s="97"/>
      <c r="X36" s="208"/>
    </row>
    <row r="37" spans="1:24" s="67" customFormat="1" ht="12.75" customHeight="1">
      <c r="A37" s="275" t="s">
        <v>172</v>
      </c>
      <c r="B37" s="63" t="b">
        <f>IF(A37="Yes",TRUE,FALSE)</f>
        <v>0</v>
      </c>
      <c r="C37" s="63" t="b">
        <f>B37</f>
        <v>0</v>
      </c>
      <c r="D37" s="63"/>
      <c r="E37" s="79">
        <f t="shared" si="0"/>
        <v>0</v>
      </c>
      <c r="F37" s="64"/>
      <c r="G37" s="64"/>
      <c r="H37" s="64"/>
      <c r="I37" s="64"/>
      <c r="J37" s="222" t="s">
        <v>262</v>
      </c>
      <c r="K37" s="70">
        <f>SUM(D37:I37)</f>
        <v>0</v>
      </c>
      <c r="L37" s="13">
        <v>1</v>
      </c>
      <c r="M37" s="11"/>
      <c r="N37" s="11"/>
      <c r="O37" s="11"/>
      <c r="P37" s="71"/>
      <c r="Q37" s="86"/>
      <c r="R37" s="97"/>
      <c r="X37" s="208"/>
    </row>
    <row r="38" spans="1:17" ht="16.5" customHeight="1">
      <c r="A38" s="275" t="s">
        <v>172</v>
      </c>
      <c r="B38" s="63" t="b">
        <f>IF(AND(B37,A38="Yes"),TRUE,FALSE)</f>
        <v>0</v>
      </c>
      <c r="C38" s="63" t="b">
        <f>B38</f>
        <v>0</v>
      </c>
      <c r="D38" s="56"/>
      <c r="E38" s="79">
        <f t="shared" si="0"/>
        <v>0</v>
      </c>
      <c r="F38" s="79"/>
      <c r="G38" s="79"/>
      <c r="H38" s="79"/>
      <c r="I38" s="79"/>
      <c r="J38" s="222" t="s">
        <v>181</v>
      </c>
      <c r="K38" s="70">
        <f>SUM(D38:I38)</f>
        <v>0</v>
      </c>
      <c r="L38" s="13">
        <v>1</v>
      </c>
      <c r="M38" s="11"/>
      <c r="N38" s="11"/>
      <c r="O38" s="11"/>
      <c r="P38" s="71"/>
      <c r="Q38" s="86"/>
    </row>
    <row r="39" spans="1:17" ht="13.5" customHeight="1">
      <c r="A39" s="275" t="s">
        <v>172</v>
      </c>
      <c r="B39" s="63" t="b">
        <f>IF(AND(B37,A39="Yes"),TRUE,FALSE)</f>
        <v>0</v>
      </c>
      <c r="C39" s="63" t="b">
        <f>B39</f>
        <v>0</v>
      </c>
      <c r="D39" s="56"/>
      <c r="E39" s="79">
        <f t="shared" si="0"/>
        <v>0</v>
      </c>
      <c r="F39" s="79"/>
      <c r="G39" s="79"/>
      <c r="H39" s="79"/>
      <c r="I39" s="79"/>
      <c r="J39" s="222" t="s">
        <v>187</v>
      </c>
      <c r="K39" s="70">
        <f>SUM(D39:I39)</f>
        <v>0</v>
      </c>
      <c r="L39" s="13">
        <v>1</v>
      </c>
      <c r="M39" s="11"/>
      <c r="N39" s="11"/>
      <c r="O39" s="11"/>
      <c r="P39" s="71"/>
      <c r="Q39" s="86"/>
    </row>
    <row r="40" spans="1:17" ht="12.75">
      <c r="A40" s="275" t="s">
        <v>172</v>
      </c>
      <c r="B40" s="251" t="b">
        <f>IF(A40="Yes",TRUE,FALSE)</f>
        <v>0</v>
      </c>
      <c r="C40" s="72" t="b">
        <f>B40</f>
        <v>0</v>
      </c>
      <c r="D40" s="94"/>
      <c r="E40" s="95">
        <f t="shared" si="0"/>
        <v>0</v>
      </c>
      <c r="F40" s="95"/>
      <c r="G40" s="95"/>
      <c r="H40" s="95"/>
      <c r="I40" s="95"/>
      <c r="J40" s="220" t="s">
        <v>52</v>
      </c>
      <c r="K40" s="70">
        <f>SUM(D40:I40)</f>
        <v>0</v>
      </c>
      <c r="L40" s="98">
        <v>1</v>
      </c>
      <c r="M40" s="99"/>
      <c r="N40" s="99"/>
      <c r="O40" s="99"/>
      <c r="P40" s="100"/>
      <c r="Q40" s="86"/>
    </row>
    <row r="41" spans="1:17" ht="13.5" customHeight="1">
      <c r="A41" s="338"/>
      <c r="B41" s="56"/>
      <c r="C41" s="63"/>
      <c r="D41" s="56"/>
      <c r="E41" s="79"/>
      <c r="F41" s="79"/>
      <c r="G41" s="79"/>
      <c r="H41" s="79"/>
      <c r="I41" s="79"/>
      <c r="J41" s="101" t="s">
        <v>303</v>
      </c>
      <c r="K41" s="102">
        <f>SUM(K10:K40)</f>
        <v>0</v>
      </c>
      <c r="L41" s="12"/>
      <c r="M41" s="12"/>
      <c r="N41" s="12"/>
      <c r="O41" s="12"/>
      <c r="P41" s="77"/>
      <c r="Q41" s="86"/>
    </row>
    <row r="42" spans="1:18" ht="12.75" customHeight="1">
      <c r="A42" s="339" t="s">
        <v>22</v>
      </c>
      <c r="B42" s="103"/>
      <c r="C42" s="103"/>
      <c r="D42" s="103"/>
      <c r="E42" s="104"/>
      <c r="F42" s="104"/>
      <c r="G42" s="104"/>
      <c r="H42" s="104"/>
      <c r="I42" s="104"/>
      <c r="J42" s="60"/>
      <c r="K42" s="70"/>
      <c r="L42" s="387" t="s">
        <v>23</v>
      </c>
      <c r="M42" s="387"/>
      <c r="N42" s="387"/>
      <c r="O42" s="387"/>
      <c r="P42" s="388"/>
      <c r="Q42" s="306"/>
      <c r="R42" s="55"/>
    </row>
    <row r="43" spans="1:17" ht="12.75">
      <c r="A43" s="275" t="s">
        <v>172</v>
      </c>
      <c r="B43" s="56" t="b">
        <f>IF(A43="Yes",TRUE,FALSE)</f>
        <v>0</v>
      </c>
      <c r="C43" s="63" t="b">
        <f>B43</f>
        <v>0</v>
      </c>
      <c r="D43" s="56"/>
      <c r="E43" s="79">
        <f>IF(C43,1,0)</f>
        <v>0</v>
      </c>
      <c r="F43" s="79"/>
      <c r="G43" s="79"/>
      <c r="H43" s="79"/>
      <c r="I43" s="79">
        <f>IF(C43,1,0)</f>
        <v>0</v>
      </c>
      <c r="J43" s="228" t="s">
        <v>127</v>
      </c>
      <c r="K43" s="70">
        <f>SUM(D43:I43)</f>
        <v>0</v>
      </c>
      <c r="L43" s="14">
        <v>1</v>
      </c>
      <c r="M43" s="16"/>
      <c r="N43" s="16"/>
      <c r="O43" s="16"/>
      <c r="P43" s="14">
        <v>1</v>
      </c>
      <c r="Q43" s="158"/>
    </row>
    <row r="44" spans="1:24" s="67" customFormat="1" ht="12.75">
      <c r="A44" s="337"/>
      <c r="B44" s="68"/>
      <c r="C44" s="68"/>
      <c r="D44" s="68"/>
      <c r="E44" s="69"/>
      <c r="F44" s="69"/>
      <c r="G44" s="69"/>
      <c r="H44" s="69"/>
      <c r="I44" s="69"/>
      <c r="J44" s="229" t="s">
        <v>189</v>
      </c>
      <c r="K44" s="70"/>
      <c r="L44" s="105"/>
      <c r="M44" s="31"/>
      <c r="N44" s="31"/>
      <c r="O44" s="31"/>
      <c r="P44" s="31"/>
      <c r="Q44" s="297"/>
      <c r="X44" s="208"/>
    </row>
    <row r="45" spans="1:24" ht="28.5" customHeight="1">
      <c r="A45" s="275" t="s">
        <v>172</v>
      </c>
      <c r="B45" s="56" t="b">
        <f>IF(A45="Yes",TRUE,FALSE)</f>
        <v>0</v>
      </c>
      <c r="C45" s="63" t="b">
        <f>IF(A45="N/A",TRUE,FALSE)</f>
        <v>0</v>
      </c>
      <c r="D45" s="56"/>
      <c r="E45" s="79"/>
      <c r="F45" s="79"/>
      <c r="G45" s="79"/>
      <c r="H45" s="79"/>
      <c r="I45" s="79"/>
      <c r="J45" s="223" t="s">
        <v>190</v>
      </c>
      <c r="K45" s="365" t="str">
        <f>IF(A45="Yes","Y",IF(A45="N/A","N/A","N"))</f>
        <v>N</v>
      </c>
      <c r="L45" s="106"/>
      <c r="M45" s="31"/>
      <c r="N45" s="107"/>
      <c r="O45" s="15" t="s">
        <v>60</v>
      </c>
      <c r="P45" s="107"/>
      <c r="Q45" s="298"/>
      <c r="X45" s="217"/>
    </row>
    <row r="46" spans="1:24" s="67" customFormat="1" ht="13.5" customHeight="1">
      <c r="A46" s="275" t="s">
        <v>172</v>
      </c>
      <c r="B46" s="56" t="b">
        <f>IF(A46="Yes",TRUE,FALSE)</f>
        <v>0</v>
      </c>
      <c r="C46" s="63" t="b">
        <f>B46</f>
        <v>0</v>
      </c>
      <c r="D46" s="72"/>
      <c r="E46" s="73"/>
      <c r="F46" s="73"/>
      <c r="G46" s="73"/>
      <c r="H46" s="64">
        <f>IF(C46,2,0)</f>
        <v>0</v>
      </c>
      <c r="I46" s="73"/>
      <c r="J46" s="230" t="s">
        <v>263</v>
      </c>
      <c r="K46" s="70">
        <f>SUM(D46:I46)</f>
        <v>0</v>
      </c>
      <c r="L46" s="14"/>
      <c r="M46" s="16"/>
      <c r="N46" s="16"/>
      <c r="O46" s="16">
        <v>2</v>
      </c>
      <c r="P46" s="16"/>
      <c r="Q46" s="158"/>
      <c r="X46" s="208"/>
    </row>
    <row r="47" spans="1:24" s="67" customFormat="1" ht="12.75">
      <c r="A47" s="275" t="s">
        <v>172</v>
      </c>
      <c r="B47" s="252" t="b">
        <f>IF(A47="Yes",TRUE,FALSE)</f>
        <v>0</v>
      </c>
      <c r="C47" s="108" t="b">
        <f>B47</f>
        <v>0</v>
      </c>
      <c r="D47" s="108"/>
      <c r="E47" s="22"/>
      <c r="F47" s="22"/>
      <c r="G47" s="22">
        <f>IF(C47,2,0)</f>
        <v>0</v>
      </c>
      <c r="H47" s="22"/>
      <c r="I47" s="22"/>
      <c r="J47" s="231" t="s">
        <v>9</v>
      </c>
      <c r="K47" s="70">
        <f>SUM(D47:I47)</f>
        <v>0</v>
      </c>
      <c r="L47" s="105"/>
      <c r="M47" s="31"/>
      <c r="N47" s="16">
        <v>2</v>
      </c>
      <c r="O47" s="31"/>
      <c r="P47" s="31"/>
      <c r="Q47" s="297"/>
      <c r="X47" s="208"/>
    </row>
    <row r="48" spans="1:24" ht="14.25" customHeight="1">
      <c r="A48" s="340"/>
      <c r="B48" s="94"/>
      <c r="C48" s="72"/>
      <c r="D48" s="94"/>
      <c r="E48" s="95"/>
      <c r="F48" s="95"/>
      <c r="G48" s="95"/>
      <c r="H48" s="95"/>
      <c r="I48" s="95"/>
      <c r="J48" s="109" t="s">
        <v>298</v>
      </c>
      <c r="K48" s="102">
        <f>SUM(K43:K47)</f>
        <v>0</v>
      </c>
      <c r="L48" s="17"/>
      <c r="M48" s="17"/>
      <c r="N48" s="17"/>
      <c r="O48" s="17"/>
      <c r="P48" s="110"/>
      <c r="Q48" s="17"/>
      <c r="X48" s="208"/>
    </row>
    <row r="49" spans="1:24" ht="12.75" customHeight="1">
      <c r="A49" s="339" t="s">
        <v>44</v>
      </c>
      <c r="B49" s="103"/>
      <c r="C49" s="103"/>
      <c r="D49" s="103"/>
      <c r="E49" s="104"/>
      <c r="F49" s="104"/>
      <c r="G49" s="104"/>
      <c r="H49" s="104"/>
      <c r="I49" s="104"/>
      <c r="J49" s="60"/>
      <c r="K49" s="70"/>
      <c r="L49" s="381" t="s">
        <v>23</v>
      </c>
      <c r="M49" s="381"/>
      <c r="N49" s="381"/>
      <c r="O49" s="381"/>
      <c r="P49" s="381"/>
      <c r="Q49" s="307"/>
      <c r="W49" s="111">
        <v>0</v>
      </c>
      <c r="X49" s="208"/>
    </row>
    <row r="50" spans="1:17" ht="12.75" customHeight="1">
      <c r="A50" s="340"/>
      <c r="B50" s="68">
        <f>IF(A50&gt;0,(LOOKUP(A50,$V$9:$V$11,$U$9:$U$11)),0)</f>
        <v>0</v>
      </c>
      <c r="C50" s="68">
        <f>IF(B50=5,1,A50)</f>
        <v>0</v>
      </c>
      <c r="D50" s="68"/>
      <c r="E50" s="69"/>
      <c r="F50" s="69"/>
      <c r="G50" s="69"/>
      <c r="H50" s="69"/>
      <c r="I50" s="69"/>
      <c r="J50" s="229" t="s">
        <v>137</v>
      </c>
      <c r="K50" s="70"/>
      <c r="L50" s="112"/>
      <c r="M50" s="112"/>
      <c r="N50" s="112"/>
      <c r="O50" s="112"/>
      <c r="P50" s="113"/>
      <c r="Q50" s="127"/>
    </row>
    <row r="51" spans="1:26" ht="14.25" customHeight="1">
      <c r="A51" s="276" t="s">
        <v>172</v>
      </c>
      <c r="B51" s="253" t="b">
        <f>IF(OR(A51="TBD",A51="No"),FALSE,IF(B52,TRUE,TRUE))</f>
        <v>0</v>
      </c>
      <c r="C51" s="63" t="b">
        <f>B51</f>
        <v>0</v>
      </c>
      <c r="D51" s="63"/>
      <c r="E51" s="79"/>
      <c r="F51" s="79"/>
      <c r="G51" s="79"/>
      <c r="H51" s="79">
        <f>IF(C51,IF(A51="≥90%",1,A51),0)</f>
        <v>0</v>
      </c>
      <c r="I51" s="79"/>
      <c r="J51" s="224" t="s">
        <v>135</v>
      </c>
      <c r="K51" s="81">
        <f>H51</f>
        <v>0</v>
      </c>
      <c r="L51" s="19"/>
      <c r="M51" s="16"/>
      <c r="N51" s="18"/>
      <c r="O51" s="18">
        <v>1</v>
      </c>
      <c r="P51" s="18"/>
      <c r="Q51" s="273"/>
      <c r="S51" s="63"/>
      <c r="T51" s="63"/>
      <c r="U51" s="114"/>
      <c r="V51" s="114"/>
      <c r="W51" s="114"/>
      <c r="Z51" s="67"/>
    </row>
    <row r="52" spans="1:17" ht="12.75">
      <c r="A52" s="276" t="s">
        <v>172</v>
      </c>
      <c r="B52" s="253" t="b">
        <f>IF(OR(A52="TBD",A52="No"),FALSE,TRUE)</f>
        <v>0</v>
      </c>
      <c r="C52" s="72" t="b">
        <f>B52</f>
        <v>0</v>
      </c>
      <c r="D52" s="56"/>
      <c r="E52" s="79"/>
      <c r="F52" s="79"/>
      <c r="G52" s="79"/>
      <c r="H52" s="79">
        <f>IF(C52,IF(A52="≥90%",1,A52),0)</f>
        <v>0</v>
      </c>
      <c r="I52" s="79"/>
      <c r="J52" s="224" t="s">
        <v>136</v>
      </c>
      <c r="K52" s="81">
        <f>H52</f>
        <v>0</v>
      </c>
      <c r="L52" s="14"/>
      <c r="M52" s="16"/>
      <c r="N52" s="16"/>
      <c r="O52" s="16">
        <v>1</v>
      </c>
      <c r="P52" s="16"/>
      <c r="Q52" s="158"/>
    </row>
    <row r="53" spans="1:24" s="67" customFormat="1" ht="13.5" customHeight="1">
      <c r="A53" s="275" t="s">
        <v>172</v>
      </c>
      <c r="B53" s="108" t="b">
        <f>IF(A53="Yes",TRUE,FALSE)</f>
        <v>0</v>
      </c>
      <c r="C53" s="108" t="b">
        <f>B53</f>
        <v>0</v>
      </c>
      <c r="D53" s="108"/>
      <c r="E53" s="22"/>
      <c r="F53" s="22"/>
      <c r="G53" s="22"/>
      <c r="H53" s="22"/>
      <c r="I53" s="22"/>
      <c r="J53" s="232" t="s">
        <v>138</v>
      </c>
      <c r="K53" s="365" t="str">
        <f>IF(A53="Yes","Y",IF(A53="N/A","N/A","N"))</f>
        <v>N</v>
      </c>
      <c r="L53" s="14"/>
      <c r="M53" s="279"/>
      <c r="N53" s="15" t="s">
        <v>60</v>
      </c>
      <c r="O53" s="15" t="s">
        <v>60</v>
      </c>
      <c r="P53" s="16"/>
      <c r="Q53" s="158"/>
      <c r="X53" s="216"/>
    </row>
    <row r="54" spans="1:17" ht="12.75">
      <c r="A54" s="341"/>
      <c r="B54" s="68"/>
      <c r="C54" s="68"/>
      <c r="D54" s="75"/>
      <c r="E54" s="76"/>
      <c r="F54" s="76"/>
      <c r="G54" s="76"/>
      <c r="H54" s="76"/>
      <c r="I54" s="76"/>
      <c r="J54" s="229" t="s">
        <v>54</v>
      </c>
      <c r="K54" s="70"/>
      <c r="L54" s="29"/>
      <c r="M54" s="25"/>
      <c r="N54" s="25"/>
      <c r="O54" s="25"/>
      <c r="P54" s="14"/>
      <c r="Q54" s="158"/>
    </row>
    <row r="55" spans="1:17" ht="12.75">
      <c r="A55" s="275" t="s">
        <v>172</v>
      </c>
      <c r="B55" s="253" t="b">
        <f aca="true" t="shared" si="1" ref="B55:B61">IF(A55="Yes",TRUE,FALSE)</f>
        <v>0</v>
      </c>
      <c r="C55" s="63" t="b">
        <f>B55</f>
        <v>0</v>
      </c>
      <c r="D55" s="56"/>
      <c r="E55" s="79"/>
      <c r="F55" s="79">
        <f>IF(C55,2,0)</f>
        <v>0</v>
      </c>
      <c r="G55" s="79"/>
      <c r="H55" s="79"/>
      <c r="I55" s="79"/>
      <c r="J55" s="224" t="s">
        <v>104</v>
      </c>
      <c r="K55" s="70">
        <f aca="true" t="shared" si="2" ref="K55:K61">SUM(D55:I55)</f>
        <v>0</v>
      </c>
      <c r="L55" s="19"/>
      <c r="M55" s="16"/>
      <c r="N55" s="20">
        <v>2</v>
      </c>
      <c r="O55" s="18"/>
      <c r="P55" s="18"/>
      <c r="Q55" s="273"/>
    </row>
    <row r="56" spans="1:17" ht="12.75">
      <c r="A56" s="275" t="s">
        <v>172</v>
      </c>
      <c r="B56" s="251" t="b">
        <f t="shared" si="1"/>
        <v>0</v>
      </c>
      <c r="C56" s="72" t="b">
        <f>B56</f>
        <v>0</v>
      </c>
      <c r="D56" s="94"/>
      <c r="E56" s="95"/>
      <c r="F56" s="95"/>
      <c r="G56" s="95">
        <f>IF(C56,2,0)</f>
        <v>0</v>
      </c>
      <c r="H56" s="95"/>
      <c r="I56" s="95"/>
      <c r="J56" s="233" t="s">
        <v>89</v>
      </c>
      <c r="K56" s="70">
        <f t="shared" si="2"/>
        <v>0</v>
      </c>
      <c r="L56" s="14"/>
      <c r="M56" s="16"/>
      <c r="N56" s="16"/>
      <c r="O56" s="16">
        <v>2</v>
      </c>
      <c r="P56" s="16"/>
      <c r="Q56" s="158"/>
    </row>
    <row r="57" spans="1:24" s="67" customFormat="1" ht="18" customHeight="1">
      <c r="A57" s="275" t="s">
        <v>172</v>
      </c>
      <c r="B57" s="108" t="b">
        <f t="shared" si="1"/>
        <v>0</v>
      </c>
      <c r="C57" s="108" t="b">
        <f>B57</f>
        <v>0</v>
      </c>
      <c r="D57" s="108"/>
      <c r="E57" s="22"/>
      <c r="F57" s="22"/>
      <c r="G57" s="22"/>
      <c r="H57" s="22">
        <f>IF(C57,1,0)</f>
        <v>0</v>
      </c>
      <c r="I57" s="22"/>
      <c r="J57" s="232" t="s">
        <v>72</v>
      </c>
      <c r="K57" s="70">
        <f t="shared" si="2"/>
        <v>0</v>
      </c>
      <c r="L57" s="14"/>
      <c r="M57" s="16"/>
      <c r="N57" s="16"/>
      <c r="O57" s="16">
        <v>1</v>
      </c>
      <c r="P57" s="16"/>
      <c r="Q57" s="158"/>
      <c r="X57" s="208"/>
    </row>
    <row r="58" spans="1:17" ht="12.75">
      <c r="A58" s="341"/>
      <c r="B58" s="68"/>
      <c r="C58" s="68"/>
      <c r="D58" s="75"/>
      <c r="E58" s="76"/>
      <c r="F58" s="76"/>
      <c r="G58" s="76"/>
      <c r="H58" s="69"/>
      <c r="I58" s="76"/>
      <c r="J58" s="234" t="s">
        <v>63</v>
      </c>
      <c r="K58" s="70"/>
      <c r="L58" s="29"/>
      <c r="M58" s="25"/>
      <c r="N58" s="25"/>
      <c r="O58" s="25"/>
      <c r="P58" s="14"/>
      <c r="Q58" s="158"/>
    </row>
    <row r="59" spans="1:24" ht="24">
      <c r="A59" s="275" t="s">
        <v>172</v>
      </c>
      <c r="B59" s="253" t="b">
        <f t="shared" si="1"/>
        <v>0</v>
      </c>
      <c r="C59" s="63" t="b">
        <f>B59</f>
        <v>0</v>
      </c>
      <c r="D59" s="56"/>
      <c r="E59" s="79"/>
      <c r="F59" s="79"/>
      <c r="G59" s="79"/>
      <c r="H59" s="64">
        <f>IF(C59,1,0)</f>
        <v>0</v>
      </c>
      <c r="I59" s="79"/>
      <c r="J59" s="235" t="s">
        <v>175</v>
      </c>
      <c r="K59" s="70">
        <f t="shared" si="2"/>
        <v>0</v>
      </c>
      <c r="L59" s="14"/>
      <c r="M59" s="16"/>
      <c r="N59" s="16"/>
      <c r="O59" s="16">
        <v>1</v>
      </c>
      <c r="P59" s="16"/>
      <c r="Q59" s="158"/>
      <c r="X59" s="215"/>
    </row>
    <row r="60" spans="1:24" ht="15" customHeight="1">
      <c r="A60" s="275" t="s">
        <v>172</v>
      </c>
      <c r="B60" s="251" t="b">
        <f t="shared" si="1"/>
        <v>0</v>
      </c>
      <c r="C60" s="72" t="b">
        <f>B60</f>
        <v>0</v>
      </c>
      <c r="D60" s="94"/>
      <c r="E60" s="95"/>
      <c r="F60" s="95"/>
      <c r="G60" s="95"/>
      <c r="H60" s="73">
        <f>IF(C60,1,0)</f>
        <v>0</v>
      </c>
      <c r="I60" s="95"/>
      <c r="J60" s="133" t="s">
        <v>27</v>
      </c>
      <c r="K60" s="70">
        <f t="shared" si="2"/>
        <v>0</v>
      </c>
      <c r="L60" s="14"/>
      <c r="M60" s="16"/>
      <c r="N60" s="16"/>
      <c r="O60" s="16">
        <v>1</v>
      </c>
      <c r="P60" s="16"/>
      <c r="Q60" s="158"/>
      <c r="X60" s="215"/>
    </row>
    <row r="61" spans="1:24" s="67" customFormat="1" ht="15" customHeight="1">
      <c r="A61" s="275" t="s">
        <v>172</v>
      </c>
      <c r="B61" s="108" t="b">
        <f t="shared" si="1"/>
        <v>0</v>
      </c>
      <c r="C61" s="68" t="b">
        <f>B61</f>
        <v>0</v>
      </c>
      <c r="D61" s="68"/>
      <c r="E61" s="69"/>
      <c r="F61" s="69"/>
      <c r="G61" s="69">
        <f>IF(C61,1,0)</f>
        <v>0</v>
      </c>
      <c r="H61" s="69"/>
      <c r="I61" s="69"/>
      <c r="J61" s="229" t="s">
        <v>90</v>
      </c>
      <c r="K61" s="70">
        <f t="shared" si="2"/>
        <v>0</v>
      </c>
      <c r="L61" s="14"/>
      <c r="M61" s="16"/>
      <c r="N61" s="16">
        <v>1</v>
      </c>
      <c r="O61" s="16"/>
      <c r="P61" s="16"/>
      <c r="Q61" s="158"/>
      <c r="X61" s="208"/>
    </row>
    <row r="62" spans="1:24" s="67" customFormat="1" ht="11.25" customHeight="1">
      <c r="A62" s="342"/>
      <c r="B62" s="108"/>
      <c r="C62" s="108"/>
      <c r="D62" s="108"/>
      <c r="E62" s="22"/>
      <c r="F62" s="22"/>
      <c r="G62" s="22"/>
      <c r="H62" s="22"/>
      <c r="I62" s="22"/>
      <c r="J62" s="115" t="s">
        <v>10</v>
      </c>
      <c r="K62" s="102">
        <f>SUM(K51:K61)</f>
        <v>0</v>
      </c>
      <c r="L62" s="28"/>
      <c r="M62" s="21"/>
      <c r="N62" s="21"/>
      <c r="O62" s="21"/>
      <c r="P62" s="116"/>
      <c r="Q62" s="17"/>
      <c r="X62" s="208"/>
    </row>
    <row r="63" spans="1:24" s="117" customFormat="1" ht="12.75" customHeight="1">
      <c r="A63" s="339" t="s">
        <v>45</v>
      </c>
      <c r="B63" s="103"/>
      <c r="C63" s="103"/>
      <c r="D63" s="103"/>
      <c r="E63" s="104"/>
      <c r="F63" s="104"/>
      <c r="G63" s="104"/>
      <c r="H63" s="104"/>
      <c r="I63" s="104"/>
      <c r="J63" s="60"/>
      <c r="K63" s="70"/>
      <c r="L63" s="389" t="s">
        <v>23</v>
      </c>
      <c r="M63" s="390"/>
      <c r="N63" s="390"/>
      <c r="O63" s="390"/>
      <c r="P63" s="390"/>
      <c r="Q63" s="307"/>
      <c r="X63" s="208"/>
    </row>
    <row r="64" spans="1:24" s="117" customFormat="1" ht="26.25" customHeight="1">
      <c r="A64" s="277" t="s">
        <v>160</v>
      </c>
      <c r="B64" s="63" t="b">
        <f>IF(A64="Yes",TRUE,FALSE)</f>
        <v>0</v>
      </c>
      <c r="C64" s="108" t="b">
        <f>B64</f>
        <v>0</v>
      </c>
      <c r="D64" s="108"/>
      <c r="E64" s="22"/>
      <c r="F64" s="22"/>
      <c r="G64" s="22"/>
      <c r="H64" s="22"/>
      <c r="I64" s="22"/>
      <c r="J64" s="236" t="s">
        <v>299</v>
      </c>
      <c r="K64" s="70"/>
      <c r="L64" s="118"/>
      <c r="M64" s="118"/>
      <c r="N64" s="118"/>
      <c r="O64" s="118"/>
      <c r="P64" s="119"/>
      <c r="Q64" s="299"/>
      <c r="X64" s="208"/>
    </row>
    <row r="65" spans="1:24" s="67" customFormat="1" ht="12.75" customHeight="1">
      <c r="A65" s="343"/>
      <c r="B65" s="68"/>
      <c r="C65" s="68"/>
      <c r="D65" s="68"/>
      <c r="E65" s="69"/>
      <c r="F65" s="69"/>
      <c r="G65" s="69"/>
      <c r="H65" s="69"/>
      <c r="I65" s="120"/>
      <c r="J65" s="229" t="s">
        <v>64</v>
      </c>
      <c r="K65" s="70"/>
      <c r="L65" s="121"/>
      <c r="M65" s="121"/>
      <c r="N65" s="121"/>
      <c r="O65" s="121"/>
      <c r="P65" s="122"/>
      <c r="Q65" s="300"/>
      <c r="X65" s="208"/>
    </row>
    <row r="66" spans="1:24" s="67" customFormat="1" ht="12.75">
      <c r="A66" s="275" t="s">
        <v>172</v>
      </c>
      <c r="B66" s="63" t="b">
        <f>IF(A66="Yes",TRUE,FALSE)</f>
        <v>0</v>
      </c>
      <c r="C66" s="63" t="b">
        <f>B66</f>
        <v>0</v>
      </c>
      <c r="D66" s="63"/>
      <c r="E66" s="64"/>
      <c r="F66" s="64"/>
      <c r="G66" s="64"/>
      <c r="H66" s="64"/>
      <c r="I66" s="64">
        <f>IF(C66,1,0)</f>
        <v>0</v>
      </c>
      <c r="J66" s="224" t="s">
        <v>73</v>
      </c>
      <c r="K66" s="70">
        <f>SUM(D66:I66)</f>
        <v>0</v>
      </c>
      <c r="L66" s="14"/>
      <c r="M66" s="16"/>
      <c r="N66" s="16"/>
      <c r="O66" s="16"/>
      <c r="P66" s="16">
        <v>1</v>
      </c>
      <c r="Q66" s="158"/>
      <c r="X66" s="216"/>
    </row>
    <row r="67" spans="1:24" s="67" customFormat="1" ht="12.75">
      <c r="A67" s="275" t="s">
        <v>172</v>
      </c>
      <c r="B67" s="63" t="b">
        <f aca="true" t="shared" si="3" ref="B67:B79">IF(A67="Yes",TRUE,FALSE)</f>
        <v>0</v>
      </c>
      <c r="C67" s="63" t="b">
        <f>B67</f>
        <v>0</v>
      </c>
      <c r="D67" s="63"/>
      <c r="E67" s="64"/>
      <c r="F67" s="64"/>
      <c r="G67" s="64"/>
      <c r="H67" s="64">
        <f>IF(C67,1,0)</f>
        <v>0</v>
      </c>
      <c r="I67" s="64"/>
      <c r="J67" s="224" t="s">
        <v>7</v>
      </c>
      <c r="K67" s="70">
        <f>SUM(D67:I67)</f>
        <v>0</v>
      </c>
      <c r="L67" s="14"/>
      <c r="M67" s="16"/>
      <c r="N67" s="16"/>
      <c r="O67" s="16">
        <v>1</v>
      </c>
      <c r="P67" s="16"/>
      <c r="Q67" s="158"/>
      <c r="X67" s="216"/>
    </row>
    <row r="68" spans="1:24" s="67" customFormat="1" ht="14.25" customHeight="1">
      <c r="A68" s="275" t="s">
        <v>172</v>
      </c>
      <c r="B68" s="72" t="b">
        <f t="shared" si="3"/>
        <v>0</v>
      </c>
      <c r="C68" s="72" t="b">
        <f>B68</f>
        <v>0</v>
      </c>
      <c r="D68" s="72"/>
      <c r="E68" s="73"/>
      <c r="F68" s="73"/>
      <c r="G68" s="73"/>
      <c r="H68" s="73"/>
      <c r="I68" s="73">
        <f>IF(B68,IF(B64,MIN(3,MAX(0,3-SUM(K66:K67))),3),0)</f>
        <v>0</v>
      </c>
      <c r="J68" s="233" t="s">
        <v>108</v>
      </c>
      <c r="K68" s="70">
        <f>SUM(D68:I68)</f>
        <v>0</v>
      </c>
      <c r="L68" s="14"/>
      <c r="M68" s="16"/>
      <c r="N68" s="16"/>
      <c r="O68" s="16"/>
      <c r="P68" s="16">
        <v>3</v>
      </c>
      <c r="Q68" s="158"/>
      <c r="X68" s="208"/>
    </row>
    <row r="69" spans="1:24" s="67" customFormat="1" ht="12.75">
      <c r="A69" s="275" t="s">
        <v>172</v>
      </c>
      <c r="B69" s="108" t="b">
        <f t="shared" si="3"/>
        <v>0</v>
      </c>
      <c r="C69" s="108" t="b">
        <f>B69</f>
        <v>0</v>
      </c>
      <c r="D69" s="22"/>
      <c r="E69" s="22">
        <f>IF(B69,IF(B64,MIN(1,MAX(0,3-SUM(K66:K68))),1),0)</f>
        <v>0</v>
      </c>
      <c r="F69" s="22"/>
      <c r="G69" s="22"/>
      <c r="H69" s="22"/>
      <c r="I69" s="22"/>
      <c r="J69" s="232" t="s">
        <v>74</v>
      </c>
      <c r="K69" s="70">
        <f>SUM(D69:I69)</f>
        <v>0</v>
      </c>
      <c r="L69" s="14">
        <v>1</v>
      </c>
      <c r="M69" s="16"/>
      <c r="N69" s="16"/>
      <c r="O69" s="16"/>
      <c r="P69" s="16"/>
      <c r="Q69" s="158"/>
      <c r="X69" s="208"/>
    </row>
    <row r="70" spans="1:24" s="67" customFormat="1" ht="12.75">
      <c r="A70" s="343"/>
      <c r="B70" s="68"/>
      <c r="C70" s="68"/>
      <c r="D70" s="68"/>
      <c r="E70" s="69"/>
      <c r="F70" s="69"/>
      <c r="G70" s="69"/>
      <c r="H70" s="69"/>
      <c r="I70" s="69">
        <f>IF(AND(B64,C68,SUM(I66,H67)=0),3,0)</f>
        <v>0</v>
      </c>
      <c r="J70" s="229" t="s">
        <v>55</v>
      </c>
      <c r="K70" s="70"/>
      <c r="L70" s="123"/>
      <c r="M70" s="25"/>
      <c r="N70" s="124"/>
      <c r="O70" s="25"/>
      <c r="P70" s="14"/>
      <c r="Q70" s="158"/>
      <c r="X70" s="208"/>
    </row>
    <row r="71" spans="1:24" s="67" customFormat="1" ht="13.5" customHeight="1">
      <c r="A71" s="275" t="s">
        <v>172</v>
      </c>
      <c r="B71" s="63" t="b">
        <f t="shared" si="3"/>
        <v>0</v>
      </c>
      <c r="C71" s="63" t="b">
        <f>B71</f>
        <v>0</v>
      </c>
      <c r="D71" s="64"/>
      <c r="E71" s="64"/>
      <c r="F71" s="64"/>
      <c r="G71" s="64"/>
      <c r="H71" s="64"/>
      <c r="I71" s="73">
        <f>IF(B71,IF($B$64,MIN(2,MAX(0,3-SUM($K$66:K70))),2),0)</f>
        <v>0</v>
      </c>
      <c r="J71" s="224" t="s">
        <v>78</v>
      </c>
      <c r="K71" s="70">
        <f>SUM(D71:I71)</f>
        <v>0</v>
      </c>
      <c r="L71" s="14"/>
      <c r="M71" s="16"/>
      <c r="N71" s="16"/>
      <c r="O71" s="16"/>
      <c r="P71" s="16">
        <v>2</v>
      </c>
      <c r="Q71" s="158"/>
      <c r="X71" s="208"/>
    </row>
    <row r="72" spans="1:24" s="67" customFormat="1" ht="12.75">
      <c r="A72" s="275" t="s">
        <v>172</v>
      </c>
      <c r="B72" s="63" t="b">
        <f t="shared" si="3"/>
        <v>0</v>
      </c>
      <c r="C72" s="63" t="b">
        <f>B72</f>
        <v>0</v>
      </c>
      <c r="D72" s="64"/>
      <c r="E72" s="64"/>
      <c r="F72" s="64"/>
      <c r="G72" s="64"/>
      <c r="H72" s="64"/>
      <c r="I72" s="73">
        <f>IF(B72,IF($B$64,MIN(2,MAX(0,3-SUM($K$66:K71))),2),0)</f>
        <v>0</v>
      </c>
      <c r="J72" s="224" t="s">
        <v>260</v>
      </c>
      <c r="K72" s="70">
        <f>SUM(D72:I72)</f>
        <v>0</v>
      </c>
      <c r="L72" s="14"/>
      <c r="M72" s="16"/>
      <c r="N72" s="16"/>
      <c r="O72" s="16"/>
      <c r="P72" s="16">
        <v>2</v>
      </c>
      <c r="Q72" s="158"/>
      <c r="X72" s="208"/>
    </row>
    <row r="73" spans="1:24" s="67" customFormat="1" ht="12.75">
      <c r="A73" s="275" t="s">
        <v>172</v>
      </c>
      <c r="B73" s="63" t="b">
        <f t="shared" si="3"/>
        <v>0</v>
      </c>
      <c r="C73" s="63" t="b">
        <f>B73</f>
        <v>0</v>
      </c>
      <c r="D73" s="64"/>
      <c r="E73" s="64"/>
      <c r="F73" s="64"/>
      <c r="G73" s="64"/>
      <c r="H73" s="64"/>
      <c r="I73" s="73">
        <f>IF(B73,IF($B$64,MIN(2,MAX(0,3-SUM($K$66:K72))),2),0)</f>
        <v>0</v>
      </c>
      <c r="J73" s="224" t="s">
        <v>96</v>
      </c>
      <c r="K73" s="70">
        <f>SUM(D73:I73)</f>
        <v>0</v>
      </c>
      <c r="L73" s="14"/>
      <c r="M73" s="16"/>
      <c r="N73" s="16"/>
      <c r="O73" s="16"/>
      <c r="P73" s="16">
        <v>2</v>
      </c>
      <c r="Q73" s="158"/>
      <c r="X73" s="208"/>
    </row>
    <row r="74" spans="1:24" s="67" customFormat="1" ht="12.75">
      <c r="A74" s="275" t="s">
        <v>172</v>
      </c>
      <c r="B74" s="108" t="b">
        <f t="shared" si="3"/>
        <v>0</v>
      </c>
      <c r="C74" s="108" t="b">
        <f>B74</f>
        <v>0</v>
      </c>
      <c r="D74" s="108"/>
      <c r="E74" s="73">
        <f>IF($B$74,IF($B$64,MIN(1,MAX(0,3-SUM($K$66:$K$73))),1),0)</f>
        <v>0</v>
      </c>
      <c r="F74" s="73">
        <f>IF($B$74,IF($B$64,MIN(1,MAX(0,3-SUM($K$66:$K$73,E74))),1),0)</f>
        <v>0</v>
      </c>
      <c r="G74" s="22"/>
      <c r="H74" s="22"/>
      <c r="I74" s="73">
        <f>IF($B$74,IF($B$64,MIN(1,MAX(0,3-SUM($K$66:$K$73,E74:F74))),1),0)</f>
        <v>0</v>
      </c>
      <c r="J74" s="232" t="s">
        <v>105</v>
      </c>
      <c r="K74" s="70">
        <f>SUM(D74:I74)</f>
        <v>0</v>
      </c>
      <c r="L74" s="125">
        <v>1</v>
      </c>
      <c r="M74" s="23">
        <v>1</v>
      </c>
      <c r="N74" s="23"/>
      <c r="O74" s="23"/>
      <c r="P74" s="23">
        <v>1</v>
      </c>
      <c r="Q74" s="301"/>
      <c r="X74" s="208"/>
    </row>
    <row r="75" spans="1:24" s="67" customFormat="1" ht="12.75">
      <c r="A75" s="275" t="s">
        <v>172</v>
      </c>
      <c r="B75" s="108" t="b">
        <f t="shared" si="3"/>
        <v>0</v>
      </c>
      <c r="C75" s="108" t="b">
        <f>B75</f>
        <v>0</v>
      </c>
      <c r="D75" s="108"/>
      <c r="E75" s="22"/>
      <c r="F75" s="22"/>
      <c r="G75" s="22"/>
      <c r="H75" s="22"/>
      <c r="I75" s="73">
        <f>IF(B75,IF($B$64,MIN(2,MAX(0,3-SUM($K$66:K74))),2),0)</f>
        <v>0</v>
      </c>
      <c r="J75" s="232" t="s">
        <v>77</v>
      </c>
      <c r="K75" s="70">
        <f>SUM(D75:I75)</f>
        <v>0</v>
      </c>
      <c r="L75" s="14"/>
      <c r="M75" s="16"/>
      <c r="N75" s="16"/>
      <c r="O75" s="16"/>
      <c r="P75" s="16">
        <v>2</v>
      </c>
      <c r="Q75" s="158"/>
      <c r="X75" s="208"/>
    </row>
    <row r="76" spans="1:24" s="67" customFormat="1" ht="12.75">
      <c r="A76" s="343"/>
      <c r="B76" s="68"/>
      <c r="C76" s="63"/>
      <c r="D76" s="68"/>
      <c r="E76" s="69"/>
      <c r="F76" s="69"/>
      <c r="G76" s="69"/>
      <c r="H76" s="69"/>
      <c r="I76" s="69"/>
      <c r="J76" s="229" t="s">
        <v>56</v>
      </c>
      <c r="K76" s="70"/>
      <c r="L76" s="29"/>
      <c r="M76" s="25"/>
      <c r="N76" s="25"/>
      <c r="O76" s="25"/>
      <c r="P76" s="14"/>
      <c r="Q76" s="158"/>
      <c r="X76" s="208"/>
    </row>
    <row r="77" spans="1:24" s="67" customFormat="1" ht="12.75">
      <c r="A77" s="275" t="s">
        <v>172</v>
      </c>
      <c r="B77" s="63" t="b">
        <f t="shared" si="3"/>
        <v>0</v>
      </c>
      <c r="C77" s="63" t="b">
        <f aca="true" t="shared" si="4" ref="C77:C82">B77</f>
        <v>0</v>
      </c>
      <c r="D77" s="63"/>
      <c r="E77" s="64"/>
      <c r="F77" s="64"/>
      <c r="G77" s="64"/>
      <c r="H77" s="64"/>
      <c r="I77" s="73">
        <f>IF(B77,IF($B$64,MIN(2,MAX(0,3-SUM($K$66:K76))),2),0)</f>
        <v>0</v>
      </c>
      <c r="J77" s="224" t="s">
        <v>24</v>
      </c>
      <c r="K77" s="70">
        <f aca="true" t="shared" si="5" ref="K77:K82">SUM(D77:I77)</f>
        <v>0</v>
      </c>
      <c r="L77" s="14"/>
      <c r="M77" s="16"/>
      <c r="N77" s="16"/>
      <c r="O77" s="16"/>
      <c r="P77" s="16">
        <v>2</v>
      </c>
      <c r="Q77" s="158"/>
      <c r="X77" s="208"/>
    </row>
    <row r="78" spans="1:24" s="67" customFormat="1" ht="12.75">
      <c r="A78" s="275" t="s">
        <v>172</v>
      </c>
      <c r="B78" s="72" t="b">
        <f t="shared" si="3"/>
        <v>0</v>
      </c>
      <c r="C78" s="72" t="b">
        <f t="shared" si="4"/>
        <v>0</v>
      </c>
      <c r="D78" s="72"/>
      <c r="E78" s="73"/>
      <c r="F78" s="73"/>
      <c r="G78" s="73"/>
      <c r="H78" s="73"/>
      <c r="I78" s="73">
        <f>IF(B78,IF($B$64,MIN(3,MAX(0,3-SUM($K$66:K77))),3),0)</f>
        <v>0</v>
      </c>
      <c r="J78" s="233" t="s">
        <v>47</v>
      </c>
      <c r="K78" s="70">
        <f t="shared" si="5"/>
        <v>0</v>
      </c>
      <c r="L78" s="14"/>
      <c r="M78" s="16"/>
      <c r="N78" s="16"/>
      <c r="O78" s="16"/>
      <c r="P78" s="16">
        <v>3</v>
      </c>
      <c r="Q78" s="158"/>
      <c r="X78" s="208"/>
    </row>
    <row r="79" spans="1:24" s="67" customFormat="1" ht="12.75">
      <c r="A79" s="275" t="s">
        <v>172</v>
      </c>
      <c r="B79" s="108" t="b">
        <f t="shared" si="3"/>
        <v>0</v>
      </c>
      <c r="C79" s="108" t="b">
        <f t="shared" si="4"/>
        <v>0</v>
      </c>
      <c r="D79" s="108"/>
      <c r="E79" s="22"/>
      <c r="F79" s="22"/>
      <c r="G79" s="22"/>
      <c r="H79" s="22"/>
      <c r="I79" s="73">
        <f>IF($B$79,IF($B$64,MIN(1,MAX(0,3-SUM($K$66:$K$78))),1),0)</f>
        <v>0</v>
      </c>
      <c r="J79" s="232" t="s">
        <v>91</v>
      </c>
      <c r="K79" s="70">
        <f t="shared" si="5"/>
        <v>0</v>
      </c>
      <c r="L79" s="14"/>
      <c r="M79" s="16"/>
      <c r="N79" s="16"/>
      <c r="O79" s="16"/>
      <c r="P79" s="16">
        <v>1</v>
      </c>
      <c r="Q79" s="158"/>
      <c r="X79" s="208"/>
    </row>
    <row r="80" spans="1:24" s="67" customFormat="1" ht="24.75" customHeight="1">
      <c r="A80" s="276" t="s">
        <v>172</v>
      </c>
      <c r="B80" s="253" t="b">
        <f>IF(OR(A80="TBD",A80="No"),FALSE,TRUE)</f>
        <v>0</v>
      </c>
      <c r="C80" s="72" t="b">
        <f t="shared" si="4"/>
        <v>0</v>
      </c>
      <c r="D80" s="56"/>
      <c r="E80" s="79"/>
      <c r="F80" s="79"/>
      <c r="G80" s="79"/>
      <c r="H80" s="79"/>
      <c r="I80" s="73">
        <f>IF(B80,IF($B$64,MIN(IF(C80,IF(A80="≥90%",2,2*A80),0),MAX(0,3-SUM($K$66:K79))),IF(C80,IF(A80="≥90%",2,2*A80),0)),0)</f>
        <v>0</v>
      </c>
      <c r="J80" s="237" t="s">
        <v>106</v>
      </c>
      <c r="K80" s="70">
        <f t="shared" si="5"/>
        <v>0</v>
      </c>
      <c r="L80" s="14"/>
      <c r="M80" s="16"/>
      <c r="N80" s="16"/>
      <c r="O80" s="16"/>
      <c r="P80" s="16">
        <v>2</v>
      </c>
      <c r="Q80" s="158"/>
      <c r="X80" s="208"/>
    </row>
    <row r="81" spans="1:24" s="67" customFormat="1" ht="26.25" customHeight="1">
      <c r="A81" s="276" t="s">
        <v>172</v>
      </c>
      <c r="B81" s="253" t="b">
        <f>IF(OR(A81="TBD",A81="No"),FALSE,TRUE)</f>
        <v>0</v>
      </c>
      <c r="C81" s="72" t="b">
        <f t="shared" si="4"/>
        <v>0</v>
      </c>
      <c r="D81" s="56"/>
      <c r="E81" s="79"/>
      <c r="F81" s="79"/>
      <c r="G81" s="79"/>
      <c r="H81" s="73">
        <f>IF($B$81,IF($B$64,MIN(IF(C81,IF(A81="≥90%",1,A81),0),MAX(0,3-SUM($K$66:$K$80))),IF(C81,IF(A81="≥90%",1,A81),0)),0)</f>
        <v>0</v>
      </c>
      <c r="I81" s="79"/>
      <c r="J81" s="237" t="s">
        <v>273</v>
      </c>
      <c r="K81" s="70">
        <f t="shared" si="5"/>
        <v>0</v>
      </c>
      <c r="L81" s="14"/>
      <c r="M81" s="16"/>
      <c r="N81" s="16"/>
      <c r="O81" s="16">
        <v>1</v>
      </c>
      <c r="P81" s="16"/>
      <c r="Q81" s="158"/>
      <c r="X81" s="208"/>
    </row>
    <row r="82" spans="1:24" s="67" customFormat="1" ht="14.25" customHeight="1">
      <c r="A82" s="275" t="s">
        <v>172</v>
      </c>
      <c r="B82" s="108" t="b">
        <f>IF(A82="Yes",TRUE,FALSE)</f>
        <v>0</v>
      </c>
      <c r="C82" s="108" t="b">
        <f t="shared" si="4"/>
        <v>0</v>
      </c>
      <c r="D82" s="108"/>
      <c r="E82" s="73">
        <f>IF($B$82,IF($B$64,MIN(1,MAX(0,3-SUM($K$66:$K$81))),1),0)</f>
        <v>0</v>
      </c>
      <c r="F82" s="22"/>
      <c r="G82" s="22"/>
      <c r="H82" s="22"/>
      <c r="I82" s="22"/>
      <c r="J82" s="232" t="s">
        <v>92</v>
      </c>
      <c r="K82" s="70">
        <f t="shared" si="5"/>
        <v>0</v>
      </c>
      <c r="L82" s="14">
        <v>1</v>
      </c>
      <c r="M82" s="16"/>
      <c r="N82" s="16"/>
      <c r="O82" s="16"/>
      <c r="P82" s="16"/>
      <c r="Q82" s="158"/>
      <c r="X82" s="208"/>
    </row>
    <row r="83" spans="1:24" s="67" customFormat="1" ht="12" customHeight="1">
      <c r="A83" s="343"/>
      <c r="B83" s="68"/>
      <c r="C83" s="68"/>
      <c r="D83" s="68"/>
      <c r="E83" s="69"/>
      <c r="F83" s="69"/>
      <c r="G83" s="69"/>
      <c r="H83" s="69"/>
      <c r="I83" s="69"/>
      <c r="J83" s="290" t="s">
        <v>251</v>
      </c>
      <c r="K83" s="70"/>
      <c r="L83" s="29"/>
      <c r="M83" s="25"/>
      <c r="N83" s="25"/>
      <c r="O83" s="25"/>
      <c r="P83" s="14"/>
      <c r="Q83" s="158"/>
      <c r="X83" s="208"/>
    </row>
    <row r="84" spans="1:24" s="67" customFormat="1" ht="12.75">
      <c r="A84" s="275" t="s">
        <v>172</v>
      </c>
      <c r="B84" s="253" t="b">
        <f>IF(OR(B85,B86,A84="Yes"),TRUE,FALSE)</f>
        <v>0</v>
      </c>
      <c r="C84" s="63" t="b">
        <f>B84</f>
        <v>0</v>
      </c>
      <c r="D84" s="63"/>
      <c r="E84" s="64"/>
      <c r="F84" s="64"/>
      <c r="G84" s="64"/>
      <c r="H84" s="64"/>
      <c r="I84" s="73">
        <f>IF($B84,IF($B$64,MIN(1,MAX(0,3-SUM($K$66:$K83,K85:K86))),1),0)</f>
        <v>0</v>
      </c>
      <c r="J84" s="327" t="s">
        <v>281</v>
      </c>
      <c r="K84" s="70">
        <f>SUM(D84:I84)</f>
        <v>0</v>
      </c>
      <c r="L84" s="14"/>
      <c r="M84" s="16"/>
      <c r="N84" s="16"/>
      <c r="O84" s="16"/>
      <c r="P84" s="16">
        <v>1</v>
      </c>
      <c r="Q84" s="158"/>
      <c r="X84" s="208"/>
    </row>
    <row r="85" spans="1:24" s="67" customFormat="1" ht="12.75">
      <c r="A85" s="275" t="s">
        <v>172</v>
      </c>
      <c r="B85" s="251" t="b">
        <f>IF(OR(B86,A85="Yes"),TRUE,FALSE)</f>
        <v>0</v>
      </c>
      <c r="C85" s="72" t="b">
        <f>B85</f>
        <v>0</v>
      </c>
      <c r="D85" s="72"/>
      <c r="E85" s="73"/>
      <c r="F85" s="73"/>
      <c r="G85" s="73"/>
      <c r="H85" s="73"/>
      <c r="I85" s="73">
        <f>IF($B85,IF($B$64,MIN(1,MAX(0,3-SUM($K$66:$K82,K86))),1),0)</f>
        <v>0</v>
      </c>
      <c r="J85" s="327" t="s">
        <v>282</v>
      </c>
      <c r="K85" s="70">
        <f>SUM(D85:I85)</f>
        <v>0</v>
      </c>
      <c r="L85" s="14"/>
      <c r="M85" s="16"/>
      <c r="N85" s="16"/>
      <c r="O85" s="16"/>
      <c r="P85" s="16">
        <v>1</v>
      </c>
      <c r="Q85" s="158"/>
      <c r="X85" s="208"/>
    </row>
    <row r="86" spans="1:24" s="67" customFormat="1" ht="12.75">
      <c r="A86" s="275" t="s">
        <v>172</v>
      </c>
      <c r="B86" s="72" t="b">
        <f>IF(A86="Yes",TRUE,FALSE)</f>
        <v>0</v>
      </c>
      <c r="C86" s="72" t="b">
        <f>B86</f>
        <v>0</v>
      </c>
      <c r="D86" s="72"/>
      <c r="E86" s="64"/>
      <c r="F86" s="73"/>
      <c r="G86" s="64"/>
      <c r="H86" s="73"/>
      <c r="I86" s="73">
        <f>IF($B86,IF($B$64,MIN(1,MAX(0,3-SUM($K$66:$K82))),1),0)</f>
        <v>0</v>
      </c>
      <c r="J86" s="327" t="s">
        <v>283</v>
      </c>
      <c r="K86" s="70">
        <f>SUM(D86:I86)</f>
        <v>0</v>
      </c>
      <c r="L86" s="14"/>
      <c r="M86" s="16"/>
      <c r="N86" s="16"/>
      <c r="O86" s="16"/>
      <c r="P86" s="16">
        <v>1</v>
      </c>
      <c r="Q86" s="158"/>
      <c r="X86" s="208"/>
    </row>
    <row r="87" spans="1:24" s="67" customFormat="1" ht="15" customHeight="1">
      <c r="A87" s="275" t="s">
        <v>172</v>
      </c>
      <c r="B87" s="108" t="b">
        <f>IF(A87="Yes",TRUE,FALSE)</f>
        <v>0</v>
      </c>
      <c r="C87" s="108" t="b">
        <f>B87</f>
        <v>0</v>
      </c>
      <c r="D87" s="108"/>
      <c r="F87" s="22"/>
      <c r="H87" s="73">
        <f>IF($B87,IF($B$64,MIN(1,MAX(0,3-SUM($K$66:$K86))),1),0)</f>
        <v>0</v>
      </c>
      <c r="I87" s="73">
        <f>IF($B87,IF($B$64,MIN(1,MAX(0,3-SUM($K$66:$K86,H87))),1),0)</f>
        <v>0</v>
      </c>
      <c r="J87" s="231" t="s">
        <v>139</v>
      </c>
      <c r="K87" s="70">
        <f>SUM(D87:I87)</f>
        <v>0</v>
      </c>
      <c r="L87" s="14"/>
      <c r="M87" s="16"/>
      <c r="N87" s="16"/>
      <c r="O87" s="16">
        <v>1</v>
      </c>
      <c r="P87" s="16">
        <v>1</v>
      </c>
      <c r="Q87" s="158"/>
      <c r="X87" s="208"/>
    </row>
    <row r="88" spans="1:24" s="67" customFormat="1" ht="12.75">
      <c r="A88" s="344"/>
      <c r="B88" s="63"/>
      <c r="C88" s="63"/>
      <c r="D88" s="63"/>
      <c r="E88" s="64"/>
      <c r="F88" s="64"/>
      <c r="G88" s="64"/>
      <c r="H88" s="64"/>
      <c r="I88" s="64"/>
      <c r="J88" s="126" t="s">
        <v>287</v>
      </c>
      <c r="K88" s="102">
        <f>SUM(K64:K87)</f>
        <v>0</v>
      </c>
      <c r="L88" s="127"/>
      <c r="M88" s="127"/>
      <c r="N88" s="127"/>
      <c r="O88" s="127"/>
      <c r="P88" s="128"/>
      <c r="Q88" s="127"/>
      <c r="X88" s="208"/>
    </row>
    <row r="89" spans="1:24" s="117" customFormat="1" ht="12.75" customHeight="1">
      <c r="A89" s="339" t="s">
        <v>25</v>
      </c>
      <c r="B89" s="103"/>
      <c r="C89" s="103">
        <f>B89</f>
        <v>0</v>
      </c>
      <c r="D89" s="103"/>
      <c r="E89" s="104"/>
      <c r="F89" s="104"/>
      <c r="G89" s="104"/>
      <c r="H89" s="104"/>
      <c r="I89" s="104"/>
      <c r="J89" s="103"/>
      <c r="K89" s="70"/>
      <c r="L89" s="384" t="s">
        <v>23</v>
      </c>
      <c r="M89" s="384"/>
      <c r="N89" s="384"/>
      <c r="O89" s="384"/>
      <c r="P89" s="385"/>
      <c r="Q89" s="307"/>
      <c r="X89" s="208"/>
    </row>
    <row r="90" spans="1:17" ht="12.75">
      <c r="A90" s="74"/>
      <c r="B90" s="56"/>
      <c r="C90" s="56"/>
      <c r="D90" s="56"/>
      <c r="E90" s="79"/>
      <c r="F90" s="79"/>
      <c r="G90" s="79"/>
      <c r="H90" s="79"/>
      <c r="I90" s="79"/>
      <c r="J90" s="238" t="s">
        <v>21</v>
      </c>
      <c r="K90" s="280"/>
      <c r="L90" s="129"/>
      <c r="M90" s="129"/>
      <c r="N90" s="129"/>
      <c r="O90" s="129"/>
      <c r="P90" s="130"/>
      <c r="Q90" s="308"/>
    </row>
    <row r="91" spans="1:17" ht="13.5" customHeight="1">
      <c r="A91" s="276" t="s">
        <v>172</v>
      </c>
      <c r="B91" s="253" t="b">
        <f>IF(OR(A91="TBD",A91="No"),FALSE,TRUE)</f>
        <v>0</v>
      </c>
      <c r="C91" s="72" t="b">
        <f>B91</f>
        <v>0</v>
      </c>
      <c r="D91" s="56"/>
      <c r="E91" s="79"/>
      <c r="F91" s="79"/>
      <c r="G91" s="79"/>
      <c r="H91" s="64">
        <f>IF(C91,IF(A91="≥90%",1,A91),0)</f>
        <v>0</v>
      </c>
      <c r="I91" s="79"/>
      <c r="J91" s="239" t="s">
        <v>37</v>
      </c>
      <c r="K91" s="70">
        <f aca="true" t="shared" si="6" ref="K91:K115">SUM(D91:I91)</f>
        <v>0</v>
      </c>
      <c r="L91" s="14"/>
      <c r="M91" s="16"/>
      <c r="N91" s="16"/>
      <c r="O91" s="16">
        <v>1</v>
      </c>
      <c r="P91" s="16"/>
      <c r="Q91" s="158"/>
    </row>
    <row r="92" spans="1:24" s="67" customFormat="1" ht="13.5" customHeight="1">
      <c r="A92" s="276" t="s">
        <v>172</v>
      </c>
      <c r="B92" s="253" t="b">
        <f>IF(OR(A92="TBD",A92="No"),FALSE,TRUE)</f>
        <v>0</v>
      </c>
      <c r="C92" s="72" t="b">
        <f>B92</f>
        <v>0</v>
      </c>
      <c r="D92" s="63"/>
      <c r="E92" s="64"/>
      <c r="F92" s="64"/>
      <c r="G92" s="64"/>
      <c r="H92" s="64">
        <f>IF(C92,IF(A92="≥90%",1,A92),0)</f>
        <v>0</v>
      </c>
      <c r="I92" s="64"/>
      <c r="J92" s="224" t="s">
        <v>38</v>
      </c>
      <c r="K92" s="70">
        <f t="shared" si="6"/>
        <v>0</v>
      </c>
      <c r="L92" s="14"/>
      <c r="M92" s="16"/>
      <c r="N92" s="16"/>
      <c r="O92" s="16">
        <v>1</v>
      </c>
      <c r="P92" s="16"/>
      <c r="Q92" s="158"/>
      <c r="X92" s="208"/>
    </row>
    <row r="93" spans="1:24" s="67" customFormat="1" ht="12.75">
      <c r="A93" s="276" t="s">
        <v>172</v>
      </c>
      <c r="B93" s="253" t="b">
        <f>IF(OR(A93="TBD",A93="No"),FALSE,TRUE)</f>
        <v>0</v>
      </c>
      <c r="C93" s="72" t="b">
        <f>B93</f>
        <v>0</v>
      </c>
      <c r="D93" s="72"/>
      <c r="E93" s="73"/>
      <c r="F93" s="73"/>
      <c r="G93" s="73"/>
      <c r="H93" s="64">
        <f>IF(C93,IF(A93="≥90%",1,A93),0)</f>
        <v>0</v>
      </c>
      <c r="I93" s="73"/>
      <c r="J93" s="233" t="s">
        <v>39</v>
      </c>
      <c r="K93" s="70">
        <f t="shared" si="6"/>
        <v>0</v>
      </c>
      <c r="L93" s="14"/>
      <c r="M93" s="16"/>
      <c r="N93" s="16"/>
      <c r="O93" s="16">
        <v>1</v>
      </c>
      <c r="P93" s="16"/>
      <c r="Q93" s="158"/>
      <c r="X93" s="208"/>
    </row>
    <row r="94" spans="1:24" s="67" customFormat="1" ht="12.75">
      <c r="A94" s="345"/>
      <c r="B94" s="68"/>
      <c r="C94" s="68"/>
      <c r="D94" s="68"/>
      <c r="E94" s="69"/>
      <c r="F94" s="69"/>
      <c r="G94" s="69"/>
      <c r="H94" s="69"/>
      <c r="I94" s="69"/>
      <c r="J94" s="229" t="s">
        <v>26</v>
      </c>
      <c r="K94" s="70"/>
      <c r="L94" s="29"/>
      <c r="M94" s="25"/>
      <c r="N94" s="25"/>
      <c r="O94" s="25"/>
      <c r="P94" s="14"/>
      <c r="Q94" s="158"/>
      <c r="X94" s="208"/>
    </row>
    <row r="95" spans="1:24" s="67" customFormat="1" ht="12.75">
      <c r="A95" s="276" t="s">
        <v>172</v>
      </c>
      <c r="B95" s="253" t="b">
        <f aca="true" t="shared" si="7" ref="B95:B101">IF(OR(A95="TBD",A95="No"),FALSE,TRUE)</f>
        <v>0</v>
      </c>
      <c r="C95" s="72" t="b">
        <f aca="true" t="shared" si="8" ref="C95:C101">B95</f>
        <v>0</v>
      </c>
      <c r="D95" s="63"/>
      <c r="E95" s="64"/>
      <c r="F95" s="64"/>
      <c r="G95" s="64"/>
      <c r="H95" s="64">
        <f>IF(C95,IF(A95="≥90%",1,A95),0)</f>
        <v>0</v>
      </c>
      <c r="I95" s="64"/>
      <c r="J95" s="224" t="s">
        <v>140</v>
      </c>
      <c r="K95" s="70">
        <f t="shared" si="6"/>
        <v>0</v>
      </c>
      <c r="L95" s="14"/>
      <c r="M95" s="16"/>
      <c r="N95" s="16"/>
      <c r="O95" s="16">
        <v>1</v>
      </c>
      <c r="P95" s="16"/>
      <c r="Q95" s="158"/>
      <c r="X95" s="209"/>
    </row>
    <row r="96" spans="1:24" s="67" customFormat="1" ht="12.75" customHeight="1">
      <c r="A96" s="276" t="s">
        <v>172</v>
      </c>
      <c r="B96" s="253" t="b">
        <f t="shared" si="7"/>
        <v>0</v>
      </c>
      <c r="C96" s="72" t="b">
        <f t="shared" si="8"/>
        <v>0</v>
      </c>
      <c r="D96" s="63"/>
      <c r="E96" s="64"/>
      <c r="F96" s="64">
        <f>IF(C96,IF(A96="≥90%",1,A96),0)</f>
        <v>0</v>
      </c>
      <c r="G96" s="64"/>
      <c r="H96" s="64"/>
      <c r="I96" s="64"/>
      <c r="J96" s="224" t="s">
        <v>191</v>
      </c>
      <c r="K96" s="70">
        <f t="shared" si="6"/>
        <v>0</v>
      </c>
      <c r="L96" s="14"/>
      <c r="M96" s="16">
        <v>1</v>
      </c>
      <c r="N96" s="16"/>
      <c r="O96" s="16"/>
      <c r="P96" s="16"/>
      <c r="Q96" s="158"/>
      <c r="X96" s="208"/>
    </row>
    <row r="97" spans="1:24" s="67" customFormat="1" ht="12.75">
      <c r="A97" s="276" t="s">
        <v>172</v>
      </c>
      <c r="B97" s="253" t="b">
        <f t="shared" si="7"/>
        <v>0</v>
      </c>
      <c r="C97" s="72" t="b">
        <f t="shared" si="8"/>
        <v>0</v>
      </c>
      <c r="D97" s="63"/>
      <c r="E97" s="64"/>
      <c r="F97" s="64"/>
      <c r="G97" s="64"/>
      <c r="H97" s="64">
        <f>IF(C97,IF(A97="≥90%",1,A97),0)</f>
        <v>0</v>
      </c>
      <c r="I97" s="64"/>
      <c r="J97" s="224" t="s">
        <v>264</v>
      </c>
      <c r="K97" s="70">
        <f t="shared" si="6"/>
        <v>0</v>
      </c>
      <c r="L97" s="14"/>
      <c r="M97" s="16"/>
      <c r="N97" s="16"/>
      <c r="O97" s="16">
        <v>1</v>
      </c>
      <c r="P97" s="16"/>
      <c r="Q97" s="158"/>
      <c r="X97" s="208"/>
    </row>
    <row r="98" spans="1:24" s="67" customFormat="1" ht="12.75">
      <c r="A98" s="276" t="s">
        <v>172</v>
      </c>
      <c r="B98" s="253" t="b">
        <f t="shared" si="7"/>
        <v>0</v>
      </c>
      <c r="C98" s="72" t="b">
        <f t="shared" si="8"/>
        <v>0</v>
      </c>
      <c r="D98" s="63"/>
      <c r="E98" s="64"/>
      <c r="F98" s="64"/>
      <c r="G98" s="64"/>
      <c r="H98" s="64">
        <f>IF(C98,IF(A98="≥90%",1,A98),0)</f>
        <v>0</v>
      </c>
      <c r="I98" s="64"/>
      <c r="J98" s="224" t="s">
        <v>321</v>
      </c>
      <c r="K98" s="70">
        <f t="shared" si="6"/>
        <v>0</v>
      </c>
      <c r="L98" s="14"/>
      <c r="M98" s="16"/>
      <c r="N98" s="16"/>
      <c r="O98" s="16">
        <v>1</v>
      </c>
      <c r="P98" s="16"/>
      <c r="Q98" s="158"/>
      <c r="X98" s="208"/>
    </row>
    <row r="99" spans="1:24" s="67" customFormat="1" ht="12.75">
      <c r="A99" s="276" t="s">
        <v>172</v>
      </c>
      <c r="B99" s="253" t="b">
        <f t="shared" si="7"/>
        <v>0</v>
      </c>
      <c r="C99" s="72" t="b">
        <f t="shared" si="8"/>
        <v>0</v>
      </c>
      <c r="D99" s="63"/>
      <c r="E99" s="64"/>
      <c r="F99" s="64"/>
      <c r="G99" s="64"/>
      <c r="H99" s="64">
        <f>IF(C99,IF(A99="≥90%",1,A99),0)</f>
        <v>0</v>
      </c>
      <c r="I99" s="64"/>
      <c r="J99" s="224" t="s">
        <v>41</v>
      </c>
      <c r="K99" s="70">
        <f t="shared" si="6"/>
        <v>0</v>
      </c>
      <c r="L99" s="14"/>
      <c r="M99" s="16"/>
      <c r="N99" s="16"/>
      <c r="O99" s="16">
        <v>1</v>
      </c>
      <c r="P99" s="16"/>
      <c r="Q99" s="158"/>
      <c r="X99" s="208"/>
    </row>
    <row r="100" spans="1:24" s="67" customFormat="1" ht="12.75">
      <c r="A100" s="276" t="s">
        <v>172</v>
      </c>
      <c r="B100" s="253" t="b">
        <f t="shared" si="7"/>
        <v>0</v>
      </c>
      <c r="C100" s="72" t="b">
        <f t="shared" si="8"/>
        <v>0</v>
      </c>
      <c r="D100" s="63"/>
      <c r="E100" s="64"/>
      <c r="F100" s="64"/>
      <c r="G100" s="64"/>
      <c r="H100" s="64">
        <f>IF(C100,IF(A100="≥90%",1,A100),0)</f>
        <v>0</v>
      </c>
      <c r="I100" s="64"/>
      <c r="J100" s="224" t="s">
        <v>62</v>
      </c>
      <c r="K100" s="70">
        <f t="shared" si="6"/>
        <v>0</v>
      </c>
      <c r="L100" s="14"/>
      <c r="M100" s="16"/>
      <c r="N100" s="16"/>
      <c r="O100" s="16">
        <v>1</v>
      </c>
      <c r="P100" s="16"/>
      <c r="Q100" s="158"/>
      <c r="X100" s="216"/>
    </row>
    <row r="101" spans="1:24" s="67" customFormat="1" ht="12.75">
      <c r="A101" s="276" t="s">
        <v>172</v>
      </c>
      <c r="B101" s="253" t="b">
        <f t="shared" si="7"/>
        <v>0</v>
      </c>
      <c r="C101" s="72" t="b">
        <f t="shared" si="8"/>
        <v>0</v>
      </c>
      <c r="D101" s="63"/>
      <c r="E101" s="64"/>
      <c r="F101" s="64"/>
      <c r="G101" s="64"/>
      <c r="H101" s="64">
        <f>IF(C101,IF(A101="≥90%",1,A101),0)</f>
        <v>0</v>
      </c>
      <c r="I101" s="64"/>
      <c r="J101" s="224" t="s">
        <v>141</v>
      </c>
      <c r="K101" s="70">
        <f t="shared" si="6"/>
        <v>0</v>
      </c>
      <c r="L101" s="131"/>
      <c r="M101" s="16"/>
      <c r="N101" s="24"/>
      <c r="O101" s="24">
        <v>1</v>
      </c>
      <c r="P101" s="24"/>
      <c r="Q101" s="273"/>
      <c r="X101" s="211"/>
    </row>
    <row r="102" spans="1:24" s="67" customFormat="1" ht="12.75">
      <c r="A102" s="345"/>
      <c r="B102" s="68"/>
      <c r="C102" s="68"/>
      <c r="D102" s="68"/>
      <c r="E102" s="69"/>
      <c r="F102" s="69"/>
      <c r="G102" s="69"/>
      <c r="H102" s="69">
        <f>IF(C102,1,0)</f>
        <v>0</v>
      </c>
      <c r="I102" s="69"/>
      <c r="J102" s="229" t="s">
        <v>20</v>
      </c>
      <c r="K102" s="70"/>
      <c r="L102" s="29"/>
      <c r="M102" s="25"/>
      <c r="N102" s="25"/>
      <c r="O102" s="25"/>
      <c r="P102" s="14"/>
      <c r="Q102" s="158"/>
      <c r="X102" s="208"/>
    </row>
    <row r="103" spans="1:24" s="67" customFormat="1" ht="12.75">
      <c r="A103" s="276" t="s">
        <v>172</v>
      </c>
      <c r="B103" s="253" t="b">
        <f>IF(OR(A103="TBD",A103="No"),FALSE,TRUE)</f>
        <v>0</v>
      </c>
      <c r="C103" s="72" t="b">
        <f>B103</f>
        <v>0</v>
      </c>
      <c r="D103" s="63"/>
      <c r="E103" s="64"/>
      <c r="F103" s="64"/>
      <c r="G103" s="64"/>
      <c r="H103" s="63">
        <f>IF(C103,IF(A103="≥90%",4,4*A103),0)</f>
        <v>0</v>
      </c>
      <c r="I103" s="64"/>
      <c r="J103" s="224" t="s">
        <v>256</v>
      </c>
      <c r="K103" s="70">
        <f>SUM(E103:I103)</f>
        <v>0</v>
      </c>
      <c r="L103" s="14"/>
      <c r="M103" s="16"/>
      <c r="N103" s="16"/>
      <c r="O103" s="16">
        <v>4</v>
      </c>
      <c r="P103" s="16"/>
      <c r="Q103" s="158"/>
      <c r="X103" s="208"/>
    </row>
    <row r="104" spans="1:24" s="67" customFormat="1" ht="13.5" customHeight="1">
      <c r="A104" s="276" t="s">
        <v>172</v>
      </c>
      <c r="B104" s="253" t="b">
        <f>IF(OR(A104="TBD",A104="No"),FALSE,TRUE)</f>
        <v>0</v>
      </c>
      <c r="C104" s="72" t="b">
        <f>B104</f>
        <v>0</v>
      </c>
      <c r="D104" s="63"/>
      <c r="E104" s="64"/>
      <c r="F104" s="64"/>
      <c r="G104" s="64"/>
      <c r="H104" s="63">
        <f>IF(C104,IF(A104="≥90%",2,2*A104),0)</f>
        <v>0</v>
      </c>
      <c r="I104" s="64"/>
      <c r="J104" s="224" t="s">
        <v>257</v>
      </c>
      <c r="K104" s="70">
        <f>SUM(E104:I104)</f>
        <v>0</v>
      </c>
      <c r="L104" s="14"/>
      <c r="M104" s="16"/>
      <c r="N104" s="16"/>
      <c r="O104" s="16">
        <v>2</v>
      </c>
      <c r="P104" s="16"/>
      <c r="Q104" s="158"/>
      <c r="X104" s="208"/>
    </row>
    <row r="105" spans="1:24" s="67" customFormat="1" ht="24" customHeight="1">
      <c r="A105" s="345"/>
      <c r="B105" s="68"/>
      <c r="C105" s="68"/>
      <c r="D105" s="68"/>
      <c r="E105" s="69"/>
      <c r="F105" s="69"/>
      <c r="G105" s="69"/>
      <c r="H105" s="69"/>
      <c r="I105" s="69"/>
      <c r="J105" s="247" t="s">
        <v>69</v>
      </c>
      <c r="K105" s="70"/>
      <c r="L105" s="29"/>
      <c r="M105" s="25"/>
      <c r="N105" s="25"/>
      <c r="O105" s="25"/>
      <c r="P105" s="14"/>
      <c r="Q105" s="158"/>
      <c r="X105" s="208"/>
    </row>
    <row r="106" spans="1:24" s="67" customFormat="1" ht="12.75">
      <c r="A106" s="276" t="s">
        <v>172</v>
      </c>
      <c r="B106" s="253" t="b">
        <f>IF(OR(A106="TBD",A106="No"),FALSE,TRUE)</f>
        <v>0</v>
      </c>
      <c r="C106" s="72" t="b">
        <f>B106</f>
        <v>0</v>
      </c>
      <c r="D106" s="63"/>
      <c r="E106" s="64"/>
      <c r="F106" s="64">
        <f>IF(C106,IF(A106="≥90%",2,2*A106),0)</f>
        <v>0</v>
      </c>
      <c r="G106" s="64"/>
      <c r="H106" s="64">
        <f>IF(C106,IF(A106="≥90%",2,2*A106),0)</f>
        <v>0</v>
      </c>
      <c r="I106" s="64"/>
      <c r="J106" s="224" t="s">
        <v>31</v>
      </c>
      <c r="K106" s="70">
        <f t="shared" si="6"/>
        <v>0</v>
      </c>
      <c r="L106" s="14"/>
      <c r="M106" s="16">
        <v>2</v>
      </c>
      <c r="N106" s="16"/>
      <c r="O106" s="16">
        <v>2</v>
      </c>
      <c r="P106" s="16"/>
      <c r="Q106" s="158"/>
      <c r="X106" s="208"/>
    </row>
    <row r="107" spans="1:24" s="67" customFormat="1" ht="12.75">
      <c r="A107" s="276" t="s">
        <v>172</v>
      </c>
      <c r="B107" s="253" t="b">
        <f>IF(OR(A107="TBD",A107="No"),FALSE,TRUE)</f>
        <v>0</v>
      </c>
      <c r="C107" s="72" t="b">
        <f>B107</f>
        <v>0</v>
      </c>
      <c r="D107" s="63"/>
      <c r="E107" s="64"/>
      <c r="F107" s="64">
        <f>IF(C107,IF(A107="≥90%",2,2*A107),0)</f>
        <v>0</v>
      </c>
      <c r="G107" s="64"/>
      <c r="H107" s="64">
        <f>IF(C107,IF(A107="≥90%",2,2*A107),0)</f>
        <v>0</v>
      </c>
      <c r="I107" s="64"/>
      <c r="J107" s="224" t="s">
        <v>32</v>
      </c>
      <c r="K107" s="70">
        <f t="shared" si="6"/>
        <v>0</v>
      </c>
      <c r="L107" s="14"/>
      <c r="M107" s="16">
        <v>2</v>
      </c>
      <c r="N107" s="16"/>
      <c r="O107" s="16">
        <v>2</v>
      </c>
      <c r="P107" s="16"/>
      <c r="Q107" s="158"/>
      <c r="X107" s="208"/>
    </row>
    <row r="108" spans="1:24" s="67" customFormat="1" ht="13.5" customHeight="1">
      <c r="A108" s="276" t="s">
        <v>172</v>
      </c>
      <c r="B108" s="253" t="b">
        <f>IF(OR(A108="TBD",A108="No"),FALSE,TRUE)</f>
        <v>0</v>
      </c>
      <c r="C108" s="72" t="b">
        <f>B108</f>
        <v>0</v>
      </c>
      <c r="D108" s="72"/>
      <c r="E108" s="73"/>
      <c r="F108" s="64">
        <f>IF(C108,IF(A108="≥90%",2,2*A108),0)</f>
        <v>0</v>
      </c>
      <c r="G108" s="73"/>
      <c r="H108" s="64">
        <f>IF(C108,IF(A108="≥90%",2,2*A108),0)</f>
        <v>0</v>
      </c>
      <c r="I108" s="73"/>
      <c r="J108" s="233" t="s">
        <v>33</v>
      </c>
      <c r="K108" s="70">
        <f t="shared" si="6"/>
        <v>0</v>
      </c>
      <c r="L108" s="14"/>
      <c r="M108" s="16">
        <v>2</v>
      </c>
      <c r="N108" s="16"/>
      <c r="O108" s="16">
        <v>2</v>
      </c>
      <c r="P108" s="16"/>
      <c r="Q108" s="158"/>
      <c r="X108" s="208"/>
    </row>
    <row r="109" spans="1:24" s="67" customFormat="1" ht="12.75">
      <c r="A109" s="345"/>
      <c r="B109" s="68"/>
      <c r="C109" s="68"/>
      <c r="D109" s="68"/>
      <c r="E109" s="69"/>
      <c r="F109" s="69"/>
      <c r="G109" s="69"/>
      <c r="H109" s="69"/>
      <c r="I109" s="69"/>
      <c r="J109" s="229" t="s">
        <v>133</v>
      </c>
      <c r="K109" s="70"/>
      <c r="L109" s="29"/>
      <c r="M109" s="25"/>
      <c r="N109" s="25"/>
      <c r="O109" s="25"/>
      <c r="P109" s="14"/>
      <c r="Q109" s="158"/>
      <c r="X109" s="208"/>
    </row>
    <row r="110" spans="1:24" s="67" customFormat="1" ht="12.75">
      <c r="A110" s="275" t="s">
        <v>172</v>
      </c>
      <c r="B110" s="63" t="b">
        <f>IF(A110="Yes",TRUE,FALSE)</f>
        <v>0</v>
      </c>
      <c r="C110" s="63" t="b">
        <f>B110</f>
        <v>0</v>
      </c>
      <c r="D110" s="63"/>
      <c r="E110" s="64"/>
      <c r="F110" s="64"/>
      <c r="G110" s="64">
        <f>IF(C110,1,0)</f>
        <v>0</v>
      </c>
      <c r="H110" s="64"/>
      <c r="I110" s="64"/>
      <c r="J110" s="224" t="s">
        <v>46</v>
      </c>
      <c r="K110" s="70">
        <f t="shared" si="6"/>
        <v>0</v>
      </c>
      <c r="L110" s="14"/>
      <c r="M110" s="16"/>
      <c r="N110" s="16">
        <v>1</v>
      </c>
      <c r="O110" s="16"/>
      <c r="P110" s="16"/>
      <c r="Q110" s="158"/>
      <c r="X110" s="216"/>
    </row>
    <row r="111" spans="1:24" s="67" customFormat="1" ht="12.75">
      <c r="A111" s="275" t="s">
        <v>172</v>
      </c>
      <c r="B111" s="63" t="b">
        <f>IF(A111="Yes",TRUE,FALSE)</f>
        <v>0</v>
      </c>
      <c r="C111" s="63" t="b">
        <f>B111</f>
        <v>0</v>
      </c>
      <c r="D111" s="72"/>
      <c r="E111" s="73"/>
      <c r="F111" s="73"/>
      <c r="G111" s="64">
        <f>IF(C111,1,0)</f>
        <v>0</v>
      </c>
      <c r="H111" s="73"/>
      <c r="I111" s="73"/>
      <c r="J111" s="133" t="s">
        <v>128</v>
      </c>
      <c r="K111" s="70">
        <f t="shared" si="6"/>
        <v>0</v>
      </c>
      <c r="L111" s="14"/>
      <c r="M111" s="16"/>
      <c r="N111" s="16">
        <v>1</v>
      </c>
      <c r="O111" s="16"/>
      <c r="P111" s="16"/>
      <c r="Q111" s="158"/>
      <c r="X111" s="216"/>
    </row>
    <row r="112" spans="1:24" s="67" customFormat="1" ht="24">
      <c r="A112" s="276" t="s">
        <v>172</v>
      </c>
      <c r="B112" s="253" t="b">
        <f>IF(OR(A112="TBD",A112="No"),FALSE,TRUE)</f>
        <v>0</v>
      </c>
      <c r="C112" s="72" t="b">
        <f>B112</f>
        <v>0</v>
      </c>
      <c r="D112" s="108"/>
      <c r="E112" s="22"/>
      <c r="F112" s="64">
        <f>IF(C112,IF(A112="≥90%",1,A112),0)</f>
        <v>0</v>
      </c>
      <c r="G112" s="22"/>
      <c r="H112" s="22"/>
      <c r="I112" s="22"/>
      <c r="J112" s="237" t="s">
        <v>65</v>
      </c>
      <c r="K112" s="70">
        <f t="shared" si="6"/>
        <v>0</v>
      </c>
      <c r="L112" s="14"/>
      <c r="M112" s="16">
        <v>1</v>
      </c>
      <c r="N112" s="16"/>
      <c r="O112" s="16"/>
      <c r="P112" s="16"/>
      <c r="Q112" s="158"/>
      <c r="X112" s="208"/>
    </row>
    <row r="113" spans="1:24" s="67" customFormat="1" ht="12.75">
      <c r="A113" s="345"/>
      <c r="B113" s="68"/>
      <c r="C113" s="68"/>
      <c r="D113" s="68"/>
      <c r="E113" s="69"/>
      <c r="F113" s="69"/>
      <c r="G113" s="69"/>
      <c r="H113" s="64"/>
      <c r="I113" s="69"/>
      <c r="J113" s="234" t="s">
        <v>142</v>
      </c>
      <c r="K113" s="70"/>
      <c r="L113" s="29"/>
      <c r="M113" s="25"/>
      <c r="N113" s="25"/>
      <c r="O113" s="25"/>
      <c r="P113" s="14"/>
      <c r="Q113" s="158"/>
      <c r="X113" s="209"/>
    </row>
    <row r="114" spans="1:24" s="67" customFormat="1" ht="12.75">
      <c r="A114" s="276" t="s">
        <v>172</v>
      </c>
      <c r="B114" s="253" t="b">
        <f>IF(OR(A114="TBD",A114="No"),FALSE,TRUE)</f>
        <v>0</v>
      </c>
      <c r="C114" s="72" t="b">
        <f>B114</f>
        <v>0</v>
      </c>
      <c r="D114" s="63"/>
      <c r="E114" s="64"/>
      <c r="F114" s="64"/>
      <c r="G114" s="64"/>
      <c r="H114" s="64">
        <f>IF(C114,IF(A114="≥90%",1,A114),0)</f>
        <v>0</v>
      </c>
      <c r="I114" s="64"/>
      <c r="J114" s="222" t="s">
        <v>94</v>
      </c>
      <c r="K114" s="70">
        <f t="shared" si="6"/>
        <v>0</v>
      </c>
      <c r="L114" s="14"/>
      <c r="M114" s="16"/>
      <c r="N114" s="16"/>
      <c r="O114" s="16">
        <v>1</v>
      </c>
      <c r="P114" s="16"/>
      <c r="Q114" s="158"/>
      <c r="X114" s="208"/>
    </row>
    <row r="115" spans="1:24" s="67" customFormat="1" ht="12.75">
      <c r="A115" s="276" t="s">
        <v>172</v>
      </c>
      <c r="B115" s="253" t="b">
        <f>IF(OR(A115="TBD",A115="No"),FALSE,TRUE)</f>
        <v>0</v>
      </c>
      <c r="C115" s="72" t="b">
        <f>B115</f>
        <v>0</v>
      </c>
      <c r="D115" s="72"/>
      <c r="E115" s="73"/>
      <c r="F115" s="64">
        <f>IF(C115,IF(A115="≥90%",1,A115),0)</f>
        <v>0</v>
      </c>
      <c r="G115" s="73"/>
      <c r="H115" s="73"/>
      <c r="I115" s="73"/>
      <c r="J115" s="220" t="s">
        <v>93</v>
      </c>
      <c r="K115" s="70">
        <f t="shared" si="6"/>
        <v>0</v>
      </c>
      <c r="L115" s="14"/>
      <c r="M115" s="16">
        <v>1</v>
      </c>
      <c r="N115" s="16"/>
      <c r="O115" s="16"/>
      <c r="P115" s="16"/>
      <c r="Q115" s="158"/>
      <c r="X115" s="216"/>
    </row>
    <row r="116" spans="1:24" s="67" customFormat="1" ht="16.5" customHeight="1">
      <c r="A116" s="343"/>
      <c r="B116" s="68"/>
      <c r="C116" s="68"/>
      <c r="D116" s="68"/>
      <c r="E116" s="69"/>
      <c r="F116" s="69"/>
      <c r="G116" s="69"/>
      <c r="H116" s="69"/>
      <c r="I116" s="69"/>
      <c r="J116" s="247" t="s">
        <v>119</v>
      </c>
      <c r="K116" s="70"/>
      <c r="L116" s="14"/>
      <c r="M116" s="16"/>
      <c r="N116" s="16"/>
      <c r="O116" s="16"/>
      <c r="P116" s="16"/>
      <c r="Q116" s="158"/>
      <c r="X116" s="208"/>
    </row>
    <row r="117" spans="1:24" s="67" customFormat="1" ht="14.25" customHeight="1">
      <c r="A117" s="275" t="s">
        <v>172</v>
      </c>
      <c r="B117" s="63" t="b">
        <f>IF(A117="Yes",TRUE,FALSE)</f>
        <v>0</v>
      </c>
      <c r="C117" s="63" t="b">
        <f>B117</f>
        <v>0</v>
      </c>
      <c r="D117" s="63"/>
      <c r="E117" s="64"/>
      <c r="F117" s="64"/>
      <c r="G117" s="64"/>
      <c r="H117" s="64">
        <f>IF(OR(C117,C118),1,0)</f>
        <v>0</v>
      </c>
      <c r="I117" s="64"/>
      <c r="J117" s="240" t="s">
        <v>185</v>
      </c>
      <c r="K117" s="70">
        <f>H117</f>
        <v>0</v>
      </c>
      <c r="L117" s="14"/>
      <c r="M117" s="15"/>
      <c r="N117" s="15"/>
      <c r="O117" s="16">
        <v>1</v>
      </c>
      <c r="P117" s="16"/>
      <c r="Q117" s="158"/>
      <c r="X117" s="208"/>
    </row>
    <row r="118" spans="1:24" s="67" customFormat="1" ht="12" customHeight="1">
      <c r="A118" s="275" t="s">
        <v>172</v>
      </c>
      <c r="B118" s="63" t="b">
        <f>IF(A118="Yes",TRUE,FALSE)</f>
        <v>0</v>
      </c>
      <c r="C118" s="63" t="b">
        <f>B118</f>
        <v>0</v>
      </c>
      <c r="D118" s="72"/>
      <c r="E118" s="73"/>
      <c r="F118" s="73"/>
      <c r="G118" s="73"/>
      <c r="H118" s="73">
        <f>IF(C118,2,0)</f>
        <v>0</v>
      </c>
      <c r="I118" s="73"/>
      <c r="J118" s="241" t="s">
        <v>186</v>
      </c>
      <c r="K118" s="70">
        <f>H118</f>
        <v>0</v>
      </c>
      <c r="L118" s="14"/>
      <c r="M118" s="15"/>
      <c r="N118" s="15"/>
      <c r="O118" s="16">
        <v>2</v>
      </c>
      <c r="P118" s="16"/>
      <c r="Q118" s="158"/>
      <c r="X118" s="219"/>
    </row>
    <row r="119" spans="1:24" s="67" customFormat="1" ht="13.5" customHeight="1">
      <c r="A119" s="275" t="s">
        <v>172</v>
      </c>
      <c r="B119" s="108" t="b">
        <f>IF(A119="Yes",TRUE,FALSE)</f>
        <v>0</v>
      </c>
      <c r="C119" s="108" t="b">
        <f>B119</f>
        <v>0</v>
      </c>
      <c r="D119" s="108"/>
      <c r="E119" s="22"/>
      <c r="F119" s="22"/>
      <c r="G119" s="22"/>
      <c r="H119" s="22"/>
      <c r="I119" s="22"/>
      <c r="J119" s="232" t="s">
        <v>143</v>
      </c>
      <c r="K119" s="365" t="str">
        <f>IF(A119="Yes","Y",IF(A119="N/A","N/A","N"))</f>
        <v>N</v>
      </c>
      <c r="L119" s="14"/>
      <c r="M119" s="15"/>
      <c r="N119" s="15"/>
      <c r="O119" s="15" t="s">
        <v>60</v>
      </c>
      <c r="P119" s="16"/>
      <c r="Q119" s="158"/>
      <c r="X119" s="216"/>
    </row>
    <row r="120" spans="1:24" s="67" customFormat="1" ht="12.75">
      <c r="A120" s="344"/>
      <c r="B120" s="63"/>
      <c r="C120" s="63"/>
      <c r="D120" s="63"/>
      <c r="E120" s="64"/>
      <c r="F120" s="64"/>
      <c r="G120" s="64"/>
      <c r="H120" s="64"/>
      <c r="I120" s="64"/>
      <c r="J120" s="134" t="s">
        <v>132</v>
      </c>
      <c r="K120" s="135">
        <f>SUM(K91:K119)</f>
        <v>0</v>
      </c>
      <c r="L120" s="136"/>
      <c r="M120" s="136"/>
      <c r="N120" s="136"/>
      <c r="O120" s="136"/>
      <c r="P120" s="137"/>
      <c r="Q120" s="127"/>
      <c r="X120" s="208"/>
    </row>
    <row r="121" spans="1:24" s="117" customFormat="1" ht="12.75" customHeight="1">
      <c r="A121" s="346" t="s">
        <v>28</v>
      </c>
      <c r="B121" s="103"/>
      <c r="C121" s="103"/>
      <c r="D121" s="103"/>
      <c r="E121" s="104"/>
      <c r="F121" s="104"/>
      <c r="G121" s="104"/>
      <c r="H121" s="104"/>
      <c r="I121" s="104"/>
      <c r="J121" s="103"/>
      <c r="K121" s="70"/>
      <c r="L121" s="385" t="s">
        <v>23</v>
      </c>
      <c r="M121" s="381"/>
      <c r="N121" s="381"/>
      <c r="O121" s="381"/>
      <c r="P121" s="381"/>
      <c r="Q121" s="307"/>
      <c r="X121" s="208"/>
    </row>
    <row r="122" spans="1:24" s="67" customFormat="1" ht="12.75">
      <c r="A122" s="276" t="s">
        <v>172</v>
      </c>
      <c r="B122" s="253" t="b">
        <f>IF(OR(A122="TBD",A122="No"),FALSE,TRUE)</f>
        <v>0</v>
      </c>
      <c r="C122" s="72" t="b">
        <f>B122</f>
        <v>0</v>
      </c>
      <c r="D122" s="108"/>
      <c r="E122" s="22"/>
      <c r="F122" s="22"/>
      <c r="G122" s="22"/>
      <c r="H122" s="64">
        <f>IF(C122,IF(A122="≥90%",2,2*A122),0)</f>
        <v>0</v>
      </c>
      <c r="I122" s="22"/>
      <c r="J122" s="232" t="s">
        <v>70</v>
      </c>
      <c r="K122" s="88">
        <f>SUM(D122:I122)</f>
        <v>0</v>
      </c>
      <c r="L122" s="138"/>
      <c r="M122" s="26"/>
      <c r="N122" s="26"/>
      <c r="O122" s="26">
        <v>2</v>
      </c>
      <c r="P122" s="26"/>
      <c r="Q122" s="158"/>
      <c r="X122" s="216"/>
    </row>
    <row r="123" spans="1:24" s="67" customFormat="1" ht="16.5" customHeight="1">
      <c r="A123" s="276" t="s">
        <v>172</v>
      </c>
      <c r="B123" s="253" t="b">
        <f>IF(OR(A123="TBD",A123="No"),FALSE,TRUE)</f>
        <v>0</v>
      </c>
      <c r="C123" s="72" t="b">
        <f>B123</f>
        <v>0</v>
      </c>
      <c r="D123" s="108"/>
      <c r="E123" s="22"/>
      <c r="F123" s="22"/>
      <c r="G123" s="22"/>
      <c r="H123" s="64">
        <f>IF(C123,IF(A123="≥90%",2,2*A123),0)</f>
        <v>0</v>
      </c>
      <c r="I123" s="22"/>
      <c r="J123" s="232" t="s">
        <v>19</v>
      </c>
      <c r="K123" s="70">
        <f>SUM(D123:I123)</f>
        <v>0</v>
      </c>
      <c r="L123" s="14"/>
      <c r="M123" s="16"/>
      <c r="N123" s="16"/>
      <c r="O123" s="16">
        <v>2</v>
      </c>
      <c r="P123" s="16"/>
      <c r="Q123" s="158"/>
      <c r="X123" s="208"/>
    </row>
    <row r="124" spans="1:24" s="67" customFormat="1" ht="12.75">
      <c r="A124" s="276" t="s">
        <v>172</v>
      </c>
      <c r="B124" s="253" t="b">
        <f>IF(OR(A124="TBD",A124="No"),FALSE,TRUE)</f>
        <v>0</v>
      </c>
      <c r="C124" s="72" t="b">
        <f>B124</f>
        <v>0</v>
      </c>
      <c r="D124" s="108"/>
      <c r="E124" s="22"/>
      <c r="F124" s="22"/>
      <c r="G124" s="22"/>
      <c r="H124" s="64">
        <f>IF(C124,IF(A124="≥90%",1,A124),0)</f>
        <v>0</v>
      </c>
      <c r="I124" s="22"/>
      <c r="J124" s="232" t="s">
        <v>265</v>
      </c>
      <c r="K124" s="70">
        <f>SUM(D124:I124)</f>
        <v>0</v>
      </c>
      <c r="L124" s="14"/>
      <c r="M124" s="16"/>
      <c r="N124" s="16"/>
      <c r="O124" s="16">
        <v>1</v>
      </c>
      <c r="P124" s="16"/>
      <c r="Q124" s="158"/>
      <c r="X124" s="216"/>
    </row>
    <row r="125" spans="1:24" s="67" customFormat="1" ht="13.5" customHeight="1">
      <c r="A125" s="276" t="s">
        <v>172</v>
      </c>
      <c r="B125" s="253" t="b">
        <f>IF(OR(A125="TBD",A125="No"),FALSE,TRUE)</f>
        <v>0</v>
      </c>
      <c r="C125" s="72" t="b">
        <f>B125</f>
        <v>0</v>
      </c>
      <c r="D125" s="108"/>
      <c r="E125" s="22"/>
      <c r="F125" s="22"/>
      <c r="G125" s="22"/>
      <c r="H125" s="64">
        <f>IF(C125,IF(A125="≥90%",2,2*A125),0)</f>
        <v>0</v>
      </c>
      <c r="I125" s="22"/>
      <c r="J125" s="232" t="s">
        <v>266</v>
      </c>
      <c r="K125" s="70">
        <f>SUM(D125:I125)</f>
        <v>0</v>
      </c>
      <c r="L125" s="14"/>
      <c r="M125" s="16"/>
      <c r="N125" s="16"/>
      <c r="O125" s="16">
        <v>2</v>
      </c>
      <c r="P125" s="16"/>
      <c r="Q125" s="158"/>
      <c r="X125" s="216"/>
    </row>
    <row r="126" spans="1:24" s="67" customFormat="1" ht="12.75">
      <c r="A126" s="347"/>
      <c r="B126" s="108"/>
      <c r="C126" s="108"/>
      <c r="D126" s="108"/>
      <c r="E126" s="22"/>
      <c r="F126" s="22"/>
      <c r="G126" s="22"/>
      <c r="H126" s="22"/>
      <c r="I126" s="22"/>
      <c r="J126" s="115" t="s">
        <v>11</v>
      </c>
      <c r="K126" s="102">
        <f>SUM(K122:K125)</f>
        <v>0</v>
      </c>
      <c r="L126" s="30"/>
      <c r="M126" s="30"/>
      <c r="N126" s="30"/>
      <c r="O126" s="30"/>
      <c r="P126" s="27"/>
      <c r="Q126" s="17"/>
      <c r="X126" s="208"/>
    </row>
    <row r="127" spans="1:24" s="117" customFormat="1" ht="12.75" customHeight="1">
      <c r="A127" s="348" t="s">
        <v>48</v>
      </c>
      <c r="B127" s="139"/>
      <c r="C127" s="139"/>
      <c r="D127" s="139"/>
      <c r="E127" s="140"/>
      <c r="F127" s="140"/>
      <c r="G127" s="140"/>
      <c r="H127" s="140"/>
      <c r="I127" s="140"/>
      <c r="J127" s="139"/>
      <c r="K127" s="70"/>
      <c r="L127" s="381" t="s">
        <v>23</v>
      </c>
      <c r="M127" s="381"/>
      <c r="N127" s="381"/>
      <c r="O127" s="381"/>
      <c r="P127" s="381"/>
      <c r="Q127" s="307"/>
      <c r="X127" s="208"/>
    </row>
    <row r="128" spans="1:24" s="67" customFormat="1" ht="12.75">
      <c r="A128" s="349"/>
      <c r="B128" s="68"/>
      <c r="C128" s="68"/>
      <c r="D128" s="68"/>
      <c r="E128" s="69"/>
      <c r="F128" s="69"/>
      <c r="G128" s="69"/>
      <c r="H128" s="69"/>
      <c r="I128" s="69"/>
      <c r="J128" s="234" t="s">
        <v>295</v>
      </c>
      <c r="K128" s="70"/>
      <c r="L128" s="21"/>
      <c r="M128" s="21"/>
      <c r="N128" s="21"/>
      <c r="O128" s="21"/>
      <c r="P128" s="116"/>
      <c r="Q128" s="17"/>
      <c r="X128" s="208"/>
    </row>
    <row r="129" spans="1:24" s="67" customFormat="1" ht="12.75">
      <c r="A129" s="276" t="s">
        <v>172</v>
      </c>
      <c r="B129" s="253" t="b">
        <f>IF(OR(A129="TBD",A129="No"),FALSE,TRUE)</f>
        <v>0</v>
      </c>
      <c r="C129" s="72" t="b">
        <f>B129</f>
        <v>0</v>
      </c>
      <c r="D129" s="63"/>
      <c r="E129" s="64"/>
      <c r="F129" s="64"/>
      <c r="G129" s="64"/>
      <c r="H129" s="64">
        <f>IF(C129,IF(A129="≥90%",1,A129),0)</f>
        <v>0</v>
      </c>
      <c r="I129" s="64"/>
      <c r="J129" s="132" t="s">
        <v>79</v>
      </c>
      <c r="K129" s="70">
        <f aca="true" t="shared" si="9" ref="K129:K134">SUM(D129:I129)</f>
        <v>0</v>
      </c>
      <c r="L129" s="14"/>
      <c r="M129" s="16"/>
      <c r="N129" s="16"/>
      <c r="O129" s="16">
        <v>1</v>
      </c>
      <c r="P129" s="16"/>
      <c r="Q129" s="158"/>
      <c r="X129" s="208"/>
    </row>
    <row r="130" spans="1:24" s="67" customFormat="1" ht="12.75">
      <c r="A130" s="276" t="s">
        <v>172</v>
      </c>
      <c r="B130" s="253" t="b">
        <f>IF(OR(A130="TBD",A130="No"),FALSE,TRUE)</f>
        <v>0</v>
      </c>
      <c r="C130" s="72" t="b">
        <f>B130</f>
        <v>0</v>
      </c>
      <c r="D130" s="72"/>
      <c r="E130" s="73"/>
      <c r="F130" s="73"/>
      <c r="G130" s="73"/>
      <c r="H130" s="64">
        <f>IF(C130,IF(A130="≥90%",1,A130),0)</f>
        <v>0</v>
      </c>
      <c r="I130" s="73"/>
      <c r="J130" s="133" t="s">
        <v>34</v>
      </c>
      <c r="K130" s="70">
        <f t="shared" si="9"/>
        <v>0</v>
      </c>
      <c r="L130" s="14"/>
      <c r="M130" s="16"/>
      <c r="N130" s="16"/>
      <c r="O130" s="16">
        <v>1</v>
      </c>
      <c r="P130" s="16"/>
      <c r="Q130" s="158"/>
      <c r="X130" s="208"/>
    </row>
    <row r="131" spans="1:24" s="67" customFormat="1" ht="12.75">
      <c r="A131" s="345"/>
      <c r="B131" s="68"/>
      <c r="C131" s="68"/>
      <c r="D131" s="68"/>
      <c r="E131" s="69"/>
      <c r="F131" s="69"/>
      <c r="G131" s="69"/>
      <c r="H131" s="69"/>
      <c r="I131" s="69"/>
      <c r="J131" s="234" t="s">
        <v>294</v>
      </c>
      <c r="K131" s="70"/>
      <c r="L131" s="14"/>
      <c r="M131" s="16"/>
      <c r="N131" s="16"/>
      <c r="O131" s="16"/>
      <c r="P131" s="16"/>
      <c r="Q131" s="158"/>
      <c r="X131" s="208"/>
    </row>
    <row r="132" spans="1:24" s="67" customFormat="1" ht="12.75">
      <c r="A132" s="276" t="s">
        <v>172</v>
      </c>
      <c r="B132" s="253" t="b">
        <f>IF(OR(A132="TBD",A132="No"),FALSE,TRUE)</f>
        <v>0</v>
      </c>
      <c r="C132" s="72" t="b">
        <f>B132</f>
        <v>0</v>
      </c>
      <c r="D132" s="63"/>
      <c r="E132" s="64"/>
      <c r="F132" s="64"/>
      <c r="G132" s="64">
        <f>IF(C132,IF(A132="≥90%",1,A132),0)</f>
        <v>0</v>
      </c>
      <c r="H132" s="64"/>
      <c r="I132" s="64"/>
      <c r="J132" s="132" t="s">
        <v>79</v>
      </c>
      <c r="K132" s="70">
        <f t="shared" si="9"/>
        <v>0</v>
      </c>
      <c r="L132" s="14"/>
      <c r="M132" s="16"/>
      <c r="N132" s="16">
        <v>1</v>
      </c>
      <c r="O132" s="16"/>
      <c r="P132" s="16"/>
      <c r="Q132" s="158"/>
      <c r="X132" s="216"/>
    </row>
    <row r="133" spans="1:24" s="67" customFormat="1" ht="12.75">
      <c r="A133" s="276" t="s">
        <v>172</v>
      </c>
      <c r="B133" s="253" t="b">
        <f>IF(OR(A133="TBD",A133="No"),FALSE,TRUE)</f>
        <v>0</v>
      </c>
      <c r="C133" s="72" t="b">
        <f>B133</f>
        <v>0</v>
      </c>
      <c r="D133" s="72"/>
      <c r="E133" s="73"/>
      <c r="F133" s="73"/>
      <c r="G133" s="64">
        <f>IF(C133,IF(A133="≥90%",1,A133),0)</f>
        <v>0</v>
      </c>
      <c r="H133" s="73"/>
      <c r="I133" s="73"/>
      <c r="J133" s="133" t="s">
        <v>34</v>
      </c>
      <c r="K133" s="70">
        <f t="shared" si="9"/>
        <v>0</v>
      </c>
      <c r="L133" s="14"/>
      <c r="M133" s="16"/>
      <c r="N133" s="16">
        <v>1</v>
      </c>
      <c r="O133" s="16"/>
      <c r="P133" s="16"/>
      <c r="Q133" s="158"/>
      <c r="X133" s="216"/>
    </row>
    <row r="134" spans="1:24" s="67" customFormat="1" ht="13.5" customHeight="1">
      <c r="A134" s="276" t="s">
        <v>172</v>
      </c>
      <c r="B134" s="253" t="b">
        <f>IF(OR(A134="TBD",A134="No"),FALSE,TRUE)</f>
        <v>0</v>
      </c>
      <c r="C134" s="72" t="b">
        <f>B134</f>
        <v>0</v>
      </c>
      <c r="D134" s="108"/>
      <c r="E134" s="22"/>
      <c r="F134" s="64">
        <f>IF(C134,IF(A134="≥90%",1,A134),0)</f>
        <v>0</v>
      </c>
      <c r="G134" s="22"/>
      <c r="H134" s="22"/>
      <c r="I134" s="22"/>
      <c r="J134" s="231" t="s">
        <v>97</v>
      </c>
      <c r="K134" s="70">
        <f t="shared" si="9"/>
        <v>0</v>
      </c>
      <c r="L134" s="14"/>
      <c r="M134" s="16">
        <v>1</v>
      </c>
      <c r="N134" s="16"/>
      <c r="O134" s="16"/>
      <c r="P134" s="16"/>
      <c r="Q134" s="158"/>
      <c r="X134" s="208"/>
    </row>
    <row r="135" spans="1:24" s="67" customFormat="1" ht="12.75">
      <c r="A135" s="347"/>
      <c r="B135" s="108"/>
      <c r="C135" s="108"/>
      <c r="D135" s="108"/>
      <c r="E135" s="22"/>
      <c r="F135" s="22"/>
      <c r="G135" s="22"/>
      <c r="H135" s="22"/>
      <c r="I135" s="22"/>
      <c r="J135" s="141" t="s">
        <v>12</v>
      </c>
      <c r="K135" s="102">
        <f>SUM(K128:K134)</f>
        <v>0</v>
      </c>
      <c r="L135" s="30"/>
      <c r="M135" s="30"/>
      <c r="N135" s="30"/>
      <c r="O135" s="30"/>
      <c r="P135" s="27"/>
      <c r="Q135" s="17"/>
      <c r="X135" s="208"/>
    </row>
    <row r="136" spans="1:24" s="117" customFormat="1" ht="12.75" customHeight="1">
      <c r="A136" s="348" t="s">
        <v>49</v>
      </c>
      <c r="B136" s="139"/>
      <c r="C136" s="139"/>
      <c r="D136" s="139"/>
      <c r="E136" s="140"/>
      <c r="F136" s="140"/>
      <c r="G136" s="140"/>
      <c r="H136" s="140"/>
      <c r="I136" s="140"/>
      <c r="J136" s="139"/>
      <c r="K136" s="70"/>
      <c r="L136" s="381" t="s">
        <v>23</v>
      </c>
      <c r="M136" s="381"/>
      <c r="N136" s="381"/>
      <c r="O136" s="381"/>
      <c r="P136" s="381"/>
      <c r="Q136" s="307"/>
      <c r="X136" s="208"/>
    </row>
    <row r="137" spans="1:24" s="67" customFormat="1" ht="13.5" customHeight="1">
      <c r="A137" s="349"/>
      <c r="B137" s="68"/>
      <c r="C137" s="68"/>
      <c r="D137" s="68"/>
      <c r="E137" s="69"/>
      <c r="F137" s="69"/>
      <c r="G137" s="69"/>
      <c r="H137" s="69"/>
      <c r="I137" s="69"/>
      <c r="J137" s="229" t="s">
        <v>61</v>
      </c>
      <c r="K137" s="70"/>
      <c r="L137" s="21"/>
      <c r="M137" s="21"/>
      <c r="N137" s="21"/>
      <c r="O137" s="21"/>
      <c r="P137" s="116"/>
      <c r="Q137" s="17"/>
      <c r="X137" s="208"/>
    </row>
    <row r="138" spans="1:24" s="67" customFormat="1" ht="14.25" customHeight="1">
      <c r="A138" s="276" t="s">
        <v>172</v>
      </c>
      <c r="B138" s="253" t="b">
        <f>IF(OR(A138="TBD",A138="No"),FALSE,TRUE)</f>
        <v>0</v>
      </c>
      <c r="C138" s="72" t="b">
        <f>B138</f>
        <v>0</v>
      </c>
      <c r="D138" s="63"/>
      <c r="E138" s="64"/>
      <c r="F138" s="64">
        <f>IF(C138,IF(A138=0.25,0.5,1),0)</f>
        <v>0</v>
      </c>
      <c r="G138" s="64"/>
      <c r="H138" s="64"/>
      <c r="I138" s="64">
        <f>IF(C138,IF(A138=0.25,0.5,1),0)</f>
        <v>0</v>
      </c>
      <c r="J138" s="224" t="s">
        <v>304</v>
      </c>
      <c r="K138" s="70">
        <f>SUM(F138:I138)</f>
        <v>0</v>
      </c>
      <c r="L138" s="14"/>
      <c r="M138" s="16">
        <v>1</v>
      </c>
      <c r="N138" s="16"/>
      <c r="O138" s="16"/>
      <c r="P138" s="16">
        <v>1</v>
      </c>
      <c r="Q138" s="158"/>
      <c r="X138" s="208"/>
    </row>
    <row r="139" spans="1:24" s="67" customFormat="1" ht="13.5" customHeight="1">
      <c r="A139" s="275" t="s">
        <v>172</v>
      </c>
      <c r="B139" s="63" t="b">
        <f>IF(AND(B138,A139="Yes"),TRUE,FALSE)</f>
        <v>0</v>
      </c>
      <c r="C139" s="63" t="b">
        <f aca="true" t="shared" si="10" ref="C139:C183">B139</f>
        <v>0</v>
      </c>
      <c r="D139" s="63"/>
      <c r="E139" s="64"/>
      <c r="F139" s="64">
        <f>IF(AND(C139,$C$138&gt;0),1,0)</f>
        <v>0</v>
      </c>
      <c r="G139" s="64"/>
      <c r="H139" s="64"/>
      <c r="I139" s="64">
        <f>IF(AND(C139,C138&gt;0),1,0)</f>
        <v>0</v>
      </c>
      <c r="J139" s="224" t="s">
        <v>129</v>
      </c>
      <c r="K139" s="70">
        <f>SUM(F139:I139)</f>
        <v>0</v>
      </c>
      <c r="L139" s="14"/>
      <c r="M139" s="16">
        <v>1</v>
      </c>
      <c r="N139" s="16"/>
      <c r="O139" s="16"/>
      <c r="P139" s="16">
        <v>1</v>
      </c>
      <c r="Q139" s="158"/>
      <c r="X139" s="208"/>
    </row>
    <row r="140" spans="1:24" s="67" customFormat="1" ht="13.5" customHeight="1">
      <c r="A140" s="275" t="s">
        <v>172</v>
      </c>
      <c r="B140" s="63" t="b">
        <f>IF(AND(B138,A140="Yes"),TRUE,FALSE)</f>
        <v>0</v>
      </c>
      <c r="C140" s="63" t="b">
        <f t="shared" si="10"/>
        <v>0</v>
      </c>
      <c r="D140" s="63"/>
      <c r="E140" s="64"/>
      <c r="F140" s="64">
        <f>IF(AND(C140,$C$138&gt;0),1,0)</f>
        <v>0</v>
      </c>
      <c r="G140" s="64"/>
      <c r="H140" s="64"/>
      <c r="I140" s="64">
        <f>IF(AND(C140,C138&gt;0),1,0)</f>
        <v>0</v>
      </c>
      <c r="J140" s="132" t="s">
        <v>180</v>
      </c>
      <c r="K140" s="70">
        <f>SUM(F140:I140)</f>
        <v>0</v>
      </c>
      <c r="L140" s="14"/>
      <c r="M140" s="16">
        <v>1</v>
      </c>
      <c r="N140" s="16"/>
      <c r="O140" s="16"/>
      <c r="P140" s="16">
        <v>1</v>
      </c>
      <c r="Q140" s="158"/>
      <c r="X140" s="216"/>
    </row>
    <row r="141" spans="1:26" s="67" customFormat="1" ht="13.5" customHeight="1">
      <c r="A141" s="276" t="s">
        <v>172</v>
      </c>
      <c r="B141" s="253" t="b">
        <f>IF(OR(A141="TBD",A141="No"),FALSE,TRUE)</f>
        <v>0</v>
      </c>
      <c r="C141" s="72" t="b">
        <f t="shared" si="10"/>
        <v>0</v>
      </c>
      <c r="D141" s="108"/>
      <c r="E141" s="22"/>
      <c r="F141" s="22"/>
      <c r="G141" s="22"/>
      <c r="H141" s="22"/>
      <c r="I141" s="64">
        <f>IF(C141,IF(A141="≥90%",2,2*A141),0)</f>
        <v>0</v>
      </c>
      <c r="J141" s="232" t="s">
        <v>166</v>
      </c>
      <c r="K141" s="70">
        <f>SUM(D141:I141)</f>
        <v>0</v>
      </c>
      <c r="L141" s="14"/>
      <c r="M141" s="16"/>
      <c r="N141" s="16"/>
      <c r="O141" s="16"/>
      <c r="P141" s="16">
        <v>2</v>
      </c>
      <c r="Q141" s="158"/>
      <c r="X141" s="216"/>
      <c r="Z141" s="323"/>
    </row>
    <row r="142" spans="1:24" s="67" customFormat="1" ht="12.75">
      <c r="A142" s="345"/>
      <c r="B142" s="68"/>
      <c r="C142" s="68">
        <f t="shared" si="10"/>
        <v>0</v>
      </c>
      <c r="D142" s="68"/>
      <c r="E142" s="69"/>
      <c r="F142" s="69"/>
      <c r="G142" s="69"/>
      <c r="H142" s="69"/>
      <c r="I142" s="69"/>
      <c r="J142" s="234" t="s">
        <v>98</v>
      </c>
      <c r="K142" s="70"/>
      <c r="L142" s="14"/>
      <c r="M142" s="16"/>
      <c r="N142" s="16"/>
      <c r="O142" s="16"/>
      <c r="P142" s="16"/>
      <c r="Q142" s="158"/>
      <c r="X142" s="208"/>
    </row>
    <row r="143" spans="1:24" s="67" customFormat="1" ht="24.75" customHeight="1">
      <c r="A143" s="275" t="s">
        <v>172</v>
      </c>
      <c r="B143" s="63" t="b">
        <f>IF(A143="Yes",TRUE,FALSE)</f>
        <v>0</v>
      </c>
      <c r="C143" s="63" t="b">
        <f t="shared" si="10"/>
        <v>0</v>
      </c>
      <c r="D143" s="63"/>
      <c r="E143" s="64"/>
      <c r="F143" s="64"/>
      <c r="G143" s="64"/>
      <c r="H143" s="64"/>
      <c r="I143" s="64"/>
      <c r="J143" s="235" t="s">
        <v>159</v>
      </c>
      <c r="K143" s="365" t="str">
        <f>IF(A143="Yes","Y",IF(A143="N/A","N/A","N"))</f>
        <v>N</v>
      </c>
      <c r="L143" s="14"/>
      <c r="M143" s="16"/>
      <c r="N143" s="16"/>
      <c r="O143" s="16"/>
      <c r="P143" s="15" t="s">
        <v>60</v>
      </c>
      <c r="Q143" s="302"/>
      <c r="X143" s="216"/>
    </row>
    <row r="144" spans="1:24" s="67" customFormat="1" ht="12.75">
      <c r="A144" s="276" t="s">
        <v>172</v>
      </c>
      <c r="B144" s="253" t="b">
        <f>IF(OR(A144="TBD",A144="No"),FALSE,TRUE)</f>
        <v>0</v>
      </c>
      <c r="C144" s="72" t="b">
        <f t="shared" si="10"/>
        <v>0</v>
      </c>
      <c r="D144" s="63"/>
      <c r="E144" s="64"/>
      <c r="F144" s="64"/>
      <c r="G144" s="64"/>
      <c r="H144" s="64"/>
      <c r="I144" s="64">
        <f>IF(C144,IF(A144="≥90%",3,3*A144),0)</f>
        <v>0</v>
      </c>
      <c r="J144" s="132" t="s">
        <v>309</v>
      </c>
      <c r="K144" s="70">
        <f>SUM(D144:I144)</f>
        <v>0</v>
      </c>
      <c r="L144" s="14"/>
      <c r="M144" s="23"/>
      <c r="N144" s="16"/>
      <c r="O144" s="16"/>
      <c r="P144" s="23">
        <v>3</v>
      </c>
      <c r="Q144" s="301"/>
      <c r="X144" s="208"/>
    </row>
    <row r="145" spans="1:24" s="67" customFormat="1" ht="12.75">
      <c r="A145" s="276" t="s">
        <v>172</v>
      </c>
      <c r="B145" s="253" t="b">
        <f>IF(OR(A145="TBD",A145="No"),FALSE,TRUE)</f>
        <v>0</v>
      </c>
      <c r="C145" s="72" t="b">
        <f t="shared" si="10"/>
        <v>0</v>
      </c>
      <c r="D145" s="72"/>
      <c r="E145" s="73"/>
      <c r="F145" s="64">
        <f>IF(C145,IF(A145="≥90%",1,A145),0)</f>
        <v>0</v>
      </c>
      <c r="G145" s="73"/>
      <c r="H145" s="73"/>
      <c r="I145" s="64">
        <f>IF(C145,IF(A145="≥90%",1,1*A145),0)</f>
        <v>0</v>
      </c>
      <c r="J145" s="133" t="s">
        <v>310</v>
      </c>
      <c r="K145" s="70">
        <f>SUM(D145:I145)</f>
        <v>0</v>
      </c>
      <c r="L145" s="14"/>
      <c r="M145" s="23">
        <v>1</v>
      </c>
      <c r="N145" s="16"/>
      <c r="O145" s="16"/>
      <c r="P145" s="23">
        <v>1</v>
      </c>
      <c r="Q145" s="301"/>
      <c r="X145" s="208"/>
    </row>
    <row r="146" spans="1:24" s="67" customFormat="1" ht="25.5" customHeight="1">
      <c r="A146" s="275" t="s">
        <v>172</v>
      </c>
      <c r="B146" s="108" t="b">
        <f>IF(A146="Yes",TRUE,FALSE)</f>
        <v>0</v>
      </c>
      <c r="C146" s="108" t="b">
        <f t="shared" si="10"/>
        <v>0</v>
      </c>
      <c r="D146" s="108"/>
      <c r="E146" s="22"/>
      <c r="F146" s="22"/>
      <c r="G146" s="22"/>
      <c r="H146" s="22"/>
      <c r="I146" s="22"/>
      <c r="J146" s="237" t="s">
        <v>267</v>
      </c>
      <c r="K146" s="365" t="str">
        <f>IF(A146="Yes","Y",IF(A146="N/A","N/A","N"))</f>
        <v>N</v>
      </c>
      <c r="L146" s="14"/>
      <c r="M146" s="16"/>
      <c r="N146" s="16"/>
      <c r="O146" s="16"/>
      <c r="P146" s="15" t="s">
        <v>60</v>
      </c>
      <c r="Q146" s="302"/>
      <c r="X146" s="216"/>
    </row>
    <row r="147" spans="1:24" s="67" customFormat="1" ht="12.75">
      <c r="A147" s="344"/>
      <c r="B147" s="63"/>
      <c r="C147" s="63"/>
      <c r="D147" s="63"/>
      <c r="E147" s="64"/>
      <c r="F147" s="64"/>
      <c r="G147" s="64"/>
      <c r="H147" s="64"/>
      <c r="I147" s="64"/>
      <c r="J147" s="126" t="s">
        <v>296</v>
      </c>
      <c r="K147" s="135">
        <f>SUM(K138:K146)</f>
        <v>0</v>
      </c>
      <c r="L147" s="30"/>
      <c r="M147" s="30"/>
      <c r="N147" s="30"/>
      <c r="O147" s="30"/>
      <c r="P147" s="27"/>
      <c r="Q147" s="17"/>
      <c r="X147" s="208"/>
    </row>
    <row r="148" spans="1:24" s="117" customFormat="1" ht="12.75" customHeight="1">
      <c r="A148" s="346" t="s">
        <v>50</v>
      </c>
      <c r="B148" s="142"/>
      <c r="C148" s="142"/>
      <c r="D148" s="142"/>
      <c r="E148" s="143"/>
      <c r="F148" s="143"/>
      <c r="G148" s="143"/>
      <c r="H148" s="143"/>
      <c r="I148" s="143"/>
      <c r="J148" s="142"/>
      <c r="K148" s="70"/>
      <c r="L148" s="385" t="s">
        <v>23</v>
      </c>
      <c r="M148" s="381"/>
      <c r="N148" s="381"/>
      <c r="O148" s="381"/>
      <c r="P148" s="381"/>
      <c r="Q148" s="307"/>
      <c r="X148" s="208"/>
    </row>
    <row r="149" spans="1:24" s="67" customFormat="1" ht="14.25" customHeight="1">
      <c r="A149" s="349"/>
      <c r="B149" s="68"/>
      <c r="C149" s="68"/>
      <c r="D149" s="68"/>
      <c r="E149" s="69"/>
      <c r="F149" s="69"/>
      <c r="G149" s="69"/>
      <c r="H149" s="69"/>
      <c r="I149" s="69"/>
      <c r="J149" s="234" t="s">
        <v>188</v>
      </c>
      <c r="K149" s="88"/>
      <c r="L149" s="28"/>
      <c r="M149" s="21"/>
      <c r="N149" s="21"/>
      <c r="O149" s="21"/>
      <c r="P149" s="116"/>
      <c r="Q149" s="17"/>
      <c r="X149" s="208"/>
    </row>
    <row r="150" spans="1:24" s="67" customFormat="1" ht="24" customHeight="1">
      <c r="A150" s="275" t="s">
        <v>172</v>
      </c>
      <c r="B150" s="63" t="b">
        <f>IF(A150="Yes",TRUE,FALSE)</f>
        <v>0</v>
      </c>
      <c r="C150" s="63" t="b">
        <f t="shared" si="10"/>
        <v>0</v>
      </c>
      <c r="D150" s="63"/>
      <c r="E150" s="64"/>
      <c r="F150" s="64"/>
      <c r="G150" s="64"/>
      <c r="H150" s="64"/>
      <c r="I150" s="64"/>
      <c r="J150" s="223" t="s">
        <v>258</v>
      </c>
      <c r="K150" s="365" t="str">
        <f>IF(A150="Yes","Y",IF(A150="N/A","N/A","N"))</f>
        <v>N</v>
      </c>
      <c r="L150" s="14"/>
      <c r="M150" s="15" t="s">
        <v>60</v>
      </c>
      <c r="N150" s="16"/>
      <c r="O150" s="16"/>
      <c r="P150" s="16"/>
      <c r="Q150" s="158"/>
      <c r="X150" s="216"/>
    </row>
    <row r="151" spans="1:24" s="67" customFormat="1" ht="12.75" customHeight="1">
      <c r="A151" s="275" t="s">
        <v>172</v>
      </c>
      <c r="B151" s="63" t="b">
        <f aca="true" t="shared" si="11" ref="B151:B179">IF(A151="Yes",TRUE,FALSE)</f>
        <v>0</v>
      </c>
      <c r="C151" s="63" t="b">
        <f t="shared" si="10"/>
        <v>0</v>
      </c>
      <c r="D151" s="63"/>
      <c r="E151" s="64"/>
      <c r="F151" s="64">
        <f>IF(C151,2,0)</f>
        <v>0</v>
      </c>
      <c r="G151" s="64"/>
      <c r="H151" s="64"/>
      <c r="I151" s="64"/>
      <c r="J151" s="224" t="s">
        <v>177</v>
      </c>
      <c r="K151" s="70">
        <f>F151</f>
        <v>0</v>
      </c>
      <c r="L151" s="14"/>
      <c r="M151" s="16">
        <v>2</v>
      </c>
      <c r="N151" s="16"/>
      <c r="O151" s="16"/>
      <c r="P151" s="16"/>
      <c r="Q151" s="158"/>
      <c r="X151" s="216"/>
    </row>
    <row r="152" spans="1:24" s="67" customFormat="1" ht="13.5" customHeight="1">
      <c r="A152" s="275" t="s">
        <v>172</v>
      </c>
      <c r="B152" s="63" t="b">
        <f t="shared" si="11"/>
        <v>0</v>
      </c>
      <c r="C152" s="63" t="b">
        <f t="shared" si="10"/>
        <v>0</v>
      </c>
      <c r="D152" s="63"/>
      <c r="E152" s="64"/>
      <c r="F152" s="64">
        <f>IF(C152,1,0)</f>
        <v>0</v>
      </c>
      <c r="G152" s="64"/>
      <c r="H152" s="64"/>
      <c r="I152" s="64"/>
      <c r="J152" s="224" t="s">
        <v>178</v>
      </c>
      <c r="K152" s="70">
        <f>F152</f>
        <v>0</v>
      </c>
      <c r="L152" s="14"/>
      <c r="M152" s="16">
        <v>1</v>
      </c>
      <c r="N152" s="16"/>
      <c r="O152" s="16"/>
      <c r="P152" s="16"/>
      <c r="Q152" s="158"/>
      <c r="X152" s="208"/>
    </row>
    <row r="153" spans="1:24" s="67" customFormat="1" ht="14.25" customHeight="1">
      <c r="A153" s="275" t="s">
        <v>172</v>
      </c>
      <c r="B153" s="63" t="b">
        <f t="shared" si="11"/>
        <v>0</v>
      </c>
      <c r="C153" s="63" t="b">
        <f t="shared" si="10"/>
        <v>0</v>
      </c>
      <c r="D153" s="72"/>
      <c r="E153" s="73"/>
      <c r="F153" s="64">
        <f>IF(C153,1,0)</f>
        <v>0</v>
      </c>
      <c r="G153" s="73"/>
      <c r="H153" s="73"/>
      <c r="I153" s="73"/>
      <c r="J153" s="233" t="s">
        <v>179</v>
      </c>
      <c r="K153" s="70">
        <f>F153</f>
        <v>0</v>
      </c>
      <c r="L153" s="14"/>
      <c r="M153" s="16">
        <v>1</v>
      </c>
      <c r="N153" s="16"/>
      <c r="O153" s="16"/>
      <c r="P153" s="16"/>
      <c r="Q153" s="158"/>
      <c r="X153" s="216"/>
    </row>
    <row r="154" spans="1:24" s="67" customFormat="1" ht="15" customHeight="1">
      <c r="A154" s="275" t="s">
        <v>172</v>
      </c>
      <c r="B154" s="254" t="b">
        <f t="shared" si="11"/>
        <v>0</v>
      </c>
      <c r="C154" s="108" t="b">
        <f t="shared" si="10"/>
        <v>0</v>
      </c>
      <c r="D154" s="108"/>
      <c r="E154" s="22"/>
      <c r="F154" s="22">
        <f>IF(C154,4,0)</f>
        <v>0</v>
      </c>
      <c r="G154" s="22"/>
      <c r="H154" s="22"/>
      <c r="I154" s="22"/>
      <c r="J154" s="231" t="s">
        <v>165</v>
      </c>
      <c r="K154" s="70">
        <f aca="true" t="shared" si="12" ref="K154:K179">SUM(D154:I154)</f>
        <v>0</v>
      </c>
      <c r="L154" s="14"/>
      <c r="M154" s="16">
        <v>4</v>
      </c>
      <c r="N154" s="16"/>
      <c r="O154" s="16"/>
      <c r="P154" s="16"/>
      <c r="Q154" s="158"/>
      <c r="X154" s="208"/>
    </row>
    <row r="155" spans="1:24" s="67" customFormat="1" ht="13.5" customHeight="1">
      <c r="A155" s="343"/>
      <c r="B155" s="63"/>
      <c r="C155" s="68"/>
      <c r="D155" s="68"/>
      <c r="E155" s="69"/>
      <c r="F155" s="69"/>
      <c r="G155" s="69"/>
      <c r="H155" s="69"/>
      <c r="I155" s="69"/>
      <c r="J155" s="229" t="s">
        <v>66</v>
      </c>
      <c r="K155" s="70"/>
      <c r="L155" s="29"/>
      <c r="M155" s="25"/>
      <c r="N155" s="25"/>
      <c r="O155" s="25"/>
      <c r="P155" s="14"/>
      <c r="Q155" s="158"/>
      <c r="X155" s="208"/>
    </row>
    <row r="156" spans="1:24" s="67" customFormat="1" ht="12.75" customHeight="1">
      <c r="A156" s="275" t="s">
        <v>172</v>
      </c>
      <c r="B156" s="63" t="b">
        <f t="shared" si="11"/>
        <v>0</v>
      </c>
      <c r="C156" s="63" t="b">
        <f t="shared" si="10"/>
        <v>0</v>
      </c>
      <c r="D156" s="63"/>
      <c r="E156" s="64"/>
      <c r="F156" s="64"/>
      <c r="G156" s="64">
        <f>IF(C156,2,0)</f>
        <v>0</v>
      </c>
      <c r="H156" s="64"/>
      <c r="I156" s="64"/>
      <c r="J156" s="224" t="s">
        <v>76</v>
      </c>
      <c r="K156" s="70">
        <f t="shared" si="12"/>
        <v>0</v>
      </c>
      <c r="L156" s="14"/>
      <c r="M156" s="16">
        <v>0</v>
      </c>
      <c r="N156" s="16">
        <v>2</v>
      </c>
      <c r="O156" s="16"/>
      <c r="P156" s="16"/>
      <c r="Q156" s="158"/>
      <c r="X156" s="216"/>
    </row>
    <row r="157" spans="1:24" s="67" customFormat="1" ht="13.5" customHeight="1">
      <c r="A157" s="275" t="s">
        <v>172</v>
      </c>
      <c r="B157" s="63" t="b">
        <f t="shared" si="11"/>
        <v>0</v>
      </c>
      <c r="C157" s="72" t="b">
        <f t="shared" si="10"/>
        <v>0</v>
      </c>
      <c r="D157" s="72"/>
      <c r="E157" s="73"/>
      <c r="F157" s="73"/>
      <c r="G157" s="73">
        <f>IF(C157,2,0)</f>
        <v>0</v>
      </c>
      <c r="H157" s="73"/>
      <c r="I157" s="73"/>
      <c r="J157" s="233" t="s">
        <v>107</v>
      </c>
      <c r="K157" s="70">
        <f t="shared" si="12"/>
        <v>0</v>
      </c>
      <c r="L157" s="14"/>
      <c r="M157" s="16">
        <v>0</v>
      </c>
      <c r="N157" s="16">
        <v>2</v>
      </c>
      <c r="O157" s="16"/>
      <c r="P157" s="16"/>
      <c r="Q157" s="158"/>
      <c r="X157" s="216"/>
    </row>
    <row r="158" spans="1:24" s="67" customFormat="1" ht="13.5" customHeight="1">
      <c r="A158" s="276" t="s">
        <v>172</v>
      </c>
      <c r="B158" s="253" t="b">
        <f>IF(OR(A158="TBD",A158="No"),FALSE,TRUE)</f>
        <v>0</v>
      </c>
      <c r="C158" s="72" t="b">
        <f t="shared" si="10"/>
        <v>0</v>
      </c>
      <c r="D158" s="108"/>
      <c r="E158" s="22"/>
      <c r="F158" s="64">
        <f>IF(C158,IF(A158="≥90%",1,A158),0)</f>
        <v>0</v>
      </c>
      <c r="G158" s="64">
        <f>IF(C158,IF(A158="≥90%",1,A158),0)</f>
        <v>0</v>
      </c>
      <c r="H158" s="22"/>
      <c r="I158" s="22"/>
      <c r="J158" s="232" t="s">
        <v>5</v>
      </c>
      <c r="K158" s="70">
        <f t="shared" si="12"/>
        <v>0</v>
      </c>
      <c r="L158" s="14"/>
      <c r="M158" s="16">
        <v>1</v>
      </c>
      <c r="N158" s="16">
        <v>1</v>
      </c>
      <c r="O158" s="16"/>
      <c r="P158" s="16"/>
      <c r="Q158" s="158"/>
      <c r="X158" s="216"/>
    </row>
    <row r="159" spans="1:24" s="67" customFormat="1" ht="24" customHeight="1">
      <c r="A159" s="275" t="s">
        <v>172</v>
      </c>
      <c r="B159" s="254" t="b">
        <f t="shared" si="11"/>
        <v>0</v>
      </c>
      <c r="C159" s="108" t="b">
        <f t="shared" si="10"/>
        <v>0</v>
      </c>
      <c r="D159" s="108"/>
      <c r="E159" s="22">
        <f>IF(C159,1,0)</f>
        <v>0</v>
      </c>
      <c r="F159" s="22"/>
      <c r="G159" s="22"/>
      <c r="H159" s="22"/>
      <c r="I159" s="22"/>
      <c r="J159" s="237" t="s">
        <v>174</v>
      </c>
      <c r="K159" s="70">
        <f t="shared" si="12"/>
        <v>0</v>
      </c>
      <c r="L159" s="14">
        <v>1</v>
      </c>
      <c r="M159" s="16"/>
      <c r="N159" s="16"/>
      <c r="O159" s="16"/>
      <c r="P159" s="16"/>
      <c r="Q159" s="158"/>
      <c r="X159" s="216"/>
    </row>
    <row r="160" spans="1:24" s="67" customFormat="1" ht="12.75">
      <c r="A160" s="343"/>
      <c r="B160" s="63"/>
      <c r="C160" s="68"/>
      <c r="D160" s="68"/>
      <c r="E160" s="69"/>
      <c r="F160" s="69"/>
      <c r="G160" s="69"/>
      <c r="H160" s="69"/>
      <c r="I160" s="69"/>
      <c r="J160" s="229" t="s">
        <v>118</v>
      </c>
      <c r="K160" s="70"/>
      <c r="L160" s="29"/>
      <c r="M160" s="25"/>
      <c r="N160" s="25"/>
      <c r="O160" s="25"/>
      <c r="P160" s="14"/>
      <c r="Q160" s="158"/>
      <c r="X160" s="208"/>
    </row>
    <row r="161" spans="1:24" s="67" customFormat="1" ht="12.75">
      <c r="A161" s="275" t="s">
        <v>172</v>
      </c>
      <c r="B161" s="63" t="b">
        <f t="shared" si="11"/>
        <v>0</v>
      </c>
      <c r="C161" s="63" t="b">
        <f t="shared" si="10"/>
        <v>0</v>
      </c>
      <c r="D161" s="63"/>
      <c r="E161" s="64"/>
      <c r="F161" s="64">
        <f>IF(C161,1,0)</f>
        <v>0</v>
      </c>
      <c r="G161" s="64"/>
      <c r="H161" s="64"/>
      <c r="I161" s="64"/>
      <c r="J161" s="224" t="s">
        <v>95</v>
      </c>
      <c r="K161" s="70">
        <f>F161</f>
        <v>0</v>
      </c>
      <c r="L161" s="14"/>
      <c r="M161" s="16">
        <v>1</v>
      </c>
      <c r="N161" s="16"/>
      <c r="O161" s="16"/>
      <c r="P161" s="16"/>
      <c r="Q161" s="158"/>
      <c r="X161" s="216"/>
    </row>
    <row r="162" spans="1:24" s="67" customFormat="1" ht="12.75">
      <c r="A162" s="275" t="s">
        <v>172</v>
      </c>
      <c r="B162" s="63" t="b">
        <f t="shared" si="11"/>
        <v>0</v>
      </c>
      <c r="C162" s="63" t="b">
        <f t="shared" si="10"/>
        <v>0</v>
      </c>
      <c r="D162" s="63"/>
      <c r="E162" s="64"/>
      <c r="F162" s="64">
        <f>IF(C162,1,0)</f>
        <v>0</v>
      </c>
      <c r="G162" s="64"/>
      <c r="H162" s="64"/>
      <c r="I162" s="64"/>
      <c r="J162" s="224" t="s">
        <v>71</v>
      </c>
      <c r="K162" s="70">
        <f t="shared" si="12"/>
        <v>0</v>
      </c>
      <c r="L162" s="14"/>
      <c r="M162" s="16">
        <v>1</v>
      </c>
      <c r="N162" s="16"/>
      <c r="O162" s="16"/>
      <c r="P162" s="16"/>
      <c r="Q162" s="158"/>
      <c r="X162" s="216"/>
    </row>
    <row r="163" spans="1:24" s="67" customFormat="1" ht="12.75">
      <c r="A163" s="275" t="s">
        <v>172</v>
      </c>
      <c r="B163" s="63" t="b">
        <f t="shared" si="11"/>
        <v>0</v>
      </c>
      <c r="C163" s="63" t="b">
        <f t="shared" si="10"/>
        <v>0</v>
      </c>
      <c r="D163" s="63"/>
      <c r="E163" s="64"/>
      <c r="F163" s="64">
        <f>IF(C163,1,0)</f>
        <v>0</v>
      </c>
      <c r="G163" s="64"/>
      <c r="H163" s="64"/>
      <c r="I163" s="64"/>
      <c r="J163" s="242" t="s">
        <v>268</v>
      </c>
      <c r="K163" s="70">
        <f t="shared" si="12"/>
        <v>0</v>
      </c>
      <c r="L163" s="131"/>
      <c r="M163" s="24">
        <v>1</v>
      </c>
      <c r="N163" s="24"/>
      <c r="O163" s="24"/>
      <c r="P163" s="24"/>
      <c r="Q163" s="273"/>
      <c r="X163" s="210"/>
    </row>
    <row r="164" spans="1:24" s="67" customFormat="1" ht="12.75" customHeight="1">
      <c r="A164" s="275" t="s">
        <v>172</v>
      </c>
      <c r="B164" s="254" t="b">
        <f t="shared" si="11"/>
        <v>0</v>
      </c>
      <c r="C164" s="108" t="b">
        <f t="shared" si="10"/>
        <v>0</v>
      </c>
      <c r="D164" s="108"/>
      <c r="E164" s="22"/>
      <c r="F164" s="22"/>
      <c r="G164" s="22">
        <f>IF(C164,1,0)</f>
        <v>0</v>
      </c>
      <c r="H164" s="22"/>
      <c r="I164" s="22"/>
      <c r="J164" s="232" t="s">
        <v>311</v>
      </c>
      <c r="K164" s="70">
        <f t="shared" si="12"/>
        <v>0</v>
      </c>
      <c r="L164" s="14"/>
      <c r="M164" s="16"/>
      <c r="N164" s="16">
        <v>1</v>
      </c>
      <c r="O164" s="16"/>
      <c r="P164" s="16"/>
      <c r="Q164" s="158"/>
      <c r="X164" s="216"/>
    </row>
    <row r="165" spans="1:24" s="67" customFormat="1" ht="12" customHeight="1">
      <c r="A165" s="275" t="s">
        <v>172</v>
      </c>
      <c r="B165" s="108" t="b">
        <f t="shared" si="11"/>
        <v>0</v>
      </c>
      <c r="C165" s="108" t="b">
        <f t="shared" si="10"/>
        <v>0</v>
      </c>
      <c r="D165" s="108"/>
      <c r="E165" s="22"/>
      <c r="F165" s="22"/>
      <c r="G165" s="22">
        <f>IF(C165,1,0)</f>
        <v>0</v>
      </c>
      <c r="H165" s="22"/>
      <c r="I165" s="22"/>
      <c r="J165" s="237" t="s">
        <v>134</v>
      </c>
      <c r="K165" s="144">
        <f t="shared" si="12"/>
        <v>0</v>
      </c>
      <c r="L165" s="14"/>
      <c r="M165" s="16"/>
      <c r="N165" s="16">
        <v>1</v>
      </c>
      <c r="O165" s="16"/>
      <c r="P165" s="16"/>
      <c r="Q165" s="158"/>
      <c r="X165" s="208"/>
    </row>
    <row r="166" spans="1:24" s="67" customFormat="1" ht="12.75">
      <c r="A166" s="343"/>
      <c r="B166" s="68"/>
      <c r="C166" s="68"/>
      <c r="D166" s="68"/>
      <c r="E166" s="69"/>
      <c r="F166" s="69"/>
      <c r="G166" s="69"/>
      <c r="H166" s="69"/>
      <c r="I166" s="69"/>
      <c r="J166" s="229" t="s">
        <v>2</v>
      </c>
      <c r="K166" s="144"/>
      <c r="L166" s="29"/>
      <c r="M166" s="25"/>
      <c r="N166" s="25"/>
      <c r="O166" s="25"/>
      <c r="P166" s="14"/>
      <c r="Q166" s="158"/>
      <c r="X166" s="208"/>
    </row>
    <row r="167" spans="1:24" s="67" customFormat="1" ht="12.75">
      <c r="A167" s="276" t="s">
        <v>172</v>
      </c>
      <c r="B167" s="253" t="b">
        <f>IF(OR(A167="TBD",A167="No"),FALSE,TRUE)</f>
        <v>0</v>
      </c>
      <c r="C167" s="72" t="b">
        <f t="shared" si="10"/>
        <v>0</v>
      </c>
      <c r="D167" s="55"/>
      <c r="E167" s="55"/>
      <c r="F167" s="55"/>
      <c r="G167" s="64">
        <f>IF(C167,IF(A167="≥90%",1,A167),0)</f>
        <v>0</v>
      </c>
      <c r="H167" s="64"/>
      <c r="I167" s="55"/>
      <c r="J167" s="224" t="s">
        <v>144</v>
      </c>
      <c r="K167" s="144">
        <f t="shared" si="12"/>
        <v>0</v>
      </c>
      <c r="L167" s="14"/>
      <c r="M167" s="16"/>
      <c r="N167" s="16">
        <v>1</v>
      </c>
      <c r="O167" s="16"/>
      <c r="P167" s="16"/>
      <c r="Q167" s="158"/>
      <c r="X167" s="211"/>
    </row>
    <row r="168" spans="1:24" s="67" customFormat="1" ht="12.75">
      <c r="A168" s="276" t="s">
        <v>172</v>
      </c>
      <c r="B168" s="253" t="b">
        <f>IF(OR(A168="TBD",A168="No"),FALSE,TRUE)</f>
        <v>0</v>
      </c>
      <c r="C168" s="72" t="b">
        <f t="shared" si="10"/>
        <v>0</v>
      </c>
      <c r="D168" s="55"/>
      <c r="E168" s="55"/>
      <c r="F168" s="55"/>
      <c r="G168" s="64">
        <f>IF(C168,IF(A168="≥90%",1,A168),0)</f>
        <v>0</v>
      </c>
      <c r="H168" s="64"/>
      <c r="I168" s="55"/>
      <c r="J168" s="224" t="s">
        <v>40</v>
      </c>
      <c r="K168" s="144">
        <f t="shared" si="12"/>
        <v>0</v>
      </c>
      <c r="L168" s="14"/>
      <c r="M168" s="16"/>
      <c r="N168" s="16">
        <v>1</v>
      </c>
      <c r="O168" s="16"/>
      <c r="P168" s="16"/>
      <c r="Q168" s="158"/>
      <c r="X168" s="211"/>
    </row>
    <row r="169" spans="1:24" s="67" customFormat="1" ht="13.5" customHeight="1">
      <c r="A169" s="275" t="s">
        <v>172</v>
      </c>
      <c r="B169" s="72" t="b">
        <f t="shared" si="11"/>
        <v>0</v>
      </c>
      <c r="C169" s="72" t="b">
        <f t="shared" si="10"/>
        <v>0</v>
      </c>
      <c r="D169" s="72"/>
      <c r="E169" s="73"/>
      <c r="F169" s="73"/>
      <c r="G169" s="73">
        <f>IF(C169,1,0)</f>
        <v>0</v>
      </c>
      <c r="H169" s="73"/>
      <c r="I169" s="73"/>
      <c r="J169" s="233" t="s">
        <v>145</v>
      </c>
      <c r="K169" s="144">
        <f t="shared" si="12"/>
        <v>0</v>
      </c>
      <c r="L169" s="14"/>
      <c r="M169" s="16"/>
      <c r="N169" s="16">
        <v>1</v>
      </c>
      <c r="O169" s="16"/>
      <c r="P169" s="16"/>
      <c r="Q169" s="158"/>
      <c r="X169" s="211"/>
    </row>
    <row r="170" spans="1:24" s="67" customFormat="1" ht="13.5" customHeight="1">
      <c r="A170" s="343"/>
      <c r="B170" s="68"/>
      <c r="C170" s="68"/>
      <c r="D170" s="68"/>
      <c r="E170" s="69"/>
      <c r="F170" s="69"/>
      <c r="G170" s="69"/>
      <c r="H170" s="69"/>
      <c r="I170" s="69"/>
      <c r="J170" s="234" t="s">
        <v>3</v>
      </c>
      <c r="K170" s="144"/>
      <c r="L170" s="29"/>
      <c r="M170" s="25"/>
      <c r="N170" s="25"/>
      <c r="O170" s="25"/>
      <c r="P170" s="14"/>
      <c r="Q170" s="158"/>
      <c r="X170" s="211"/>
    </row>
    <row r="171" spans="1:24" s="67" customFormat="1" ht="12" customHeight="1">
      <c r="A171" s="275" t="s">
        <v>172</v>
      </c>
      <c r="B171" s="63" t="b">
        <f t="shared" si="11"/>
        <v>0</v>
      </c>
      <c r="C171" s="63" t="b">
        <f t="shared" si="10"/>
        <v>0</v>
      </c>
      <c r="D171" s="63"/>
      <c r="E171" s="64"/>
      <c r="F171" s="64">
        <f>IF(C171,1,0)</f>
        <v>0</v>
      </c>
      <c r="G171" s="64"/>
      <c r="H171" s="64"/>
      <c r="I171" s="64"/>
      <c r="J171" s="132" t="s">
        <v>146</v>
      </c>
      <c r="K171" s="144">
        <f t="shared" si="12"/>
        <v>0</v>
      </c>
      <c r="L171" s="14"/>
      <c r="M171" s="16">
        <v>1</v>
      </c>
      <c r="N171" s="16"/>
      <c r="O171" s="16"/>
      <c r="P171" s="16"/>
      <c r="Q171" s="158"/>
      <c r="X171" s="211"/>
    </row>
    <row r="172" spans="1:24" s="67" customFormat="1" ht="12.75" customHeight="1">
      <c r="A172" s="275" t="s">
        <v>172</v>
      </c>
      <c r="B172" s="72" t="b">
        <f t="shared" si="11"/>
        <v>0</v>
      </c>
      <c r="C172" s="72" t="b">
        <f t="shared" si="10"/>
        <v>0</v>
      </c>
      <c r="D172" s="72"/>
      <c r="E172" s="73"/>
      <c r="F172" s="73">
        <f>IF(C172,1,0)</f>
        <v>0</v>
      </c>
      <c r="G172" s="73"/>
      <c r="H172" s="73"/>
      <c r="I172" s="73"/>
      <c r="J172" s="133" t="s">
        <v>147</v>
      </c>
      <c r="K172" s="144">
        <f t="shared" si="12"/>
        <v>0</v>
      </c>
      <c r="L172" s="14"/>
      <c r="M172" s="16">
        <v>1</v>
      </c>
      <c r="N172" s="16"/>
      <c r="O172" s="16"/>
      <c r="P172" s="16"/>
      <c r="Q172" s="158"/>
      <c r="X172" s="211"/>
    </row>
    <row r="173" spans="1:24" s="67" customFormat="1" ht="15" customHeight="1">
      <c r="A173" s="343"/>
      <c r="B173" s="68"/>
      <c r="C173" s="68"/>
      <c r="D173" s="68"/>
      <c r="E173" s="69"/>
      <c r="F173" s="69"/>
      <c r="G173" s="69"/>
      <c r="H173" s="69"/>
      <c r="I173" s="69"/>
      <c r="J173" s="234" t="s">
        <v>4</v>
      </c>
      <c r="K173" s="144"/>
      <c r="L173" s="29"/>
      <c r="M173" s="25"/>
      <c r="N173" s="25"/>
      <c r="O173" s="25"/>
      <c r="P173" s="14"/>
      <c r="Q173" s="158"/>
      <c r="X173" s="208"/>
    </row>
    <row r="174" spans="1:24" s="67" customFormat="1" ht="24">
      <c r="A174" s="275" t="s">
        <v>172</v>
      </c>
      <c r="B174" s="63" t="b">
        <f t="shared" si="11"/>
        <v>0</v>
      </c>
      <c r="C174" s="63" t="b">
        <f>B174</f>
        <v>0</v>
      </c>
      <c r="D174" s="63"/>
      <c r="E174" s="64"/>
      <c r="F174" s="64"/>
      <c r="G174" s="64">
        <f>IF(C174,1,0)</f>
        <v>0</v>
      </c>
      <c r="H174" s="64"/>
      <c r="I174" s="64"/>
      <c r="J174" s="328" t="s">
        <v>292</v>
      </c>
      <c r="K174" s="70">
        <f t="shared" si="12"/>
        <v>0</v>
      </c>
      <c r="L174" s="16"/>
      <c r="M174" s="16"/>
      <c r="N174" s="16">
        <v>1</v>
      </c>
      <c r="O174" s="16"/>
      <c r="P174" s="16"/>
      <c r="Q174" s="158"/>
      <c r="X174" s="208"/>
    </row>
    <row r="175" spans="1:24" s="67" customFormat="1" ht="24">
      <c r="A175" s="275" t="s">
        <v>172</v>
      </c>
      <c r="B175" s="63" t="b">
        <f t="shared" si="11"/>
        <v>0</v>
      </c>
      <c r="C175" s="63" t="b">
        <f>B175</f>
        <v>0</v>
      </c>
      <c r="D175" s="63"/>
      <c r="E175" s="64"/>
      <c r="F175" s="64"/>
      <c r="G175" s="64">
        <f>IF(C175,1,0)</f>
        <v>0</v>
      </c>
      <c r="H175" s="64"/>
      <c r="I175" s="64"/>
      <c r="J175" s="328" t="s">
        <v>284</v>
      </c>
      <c r="K175" s="70">
        <f t="shared" si="12"/>
        <v>0</v>
      </c>
      <c r="L175" s="16"/>
      <c r="M175" s="16"/>
      <c r="N175" s="16">
        <v>1</v>
      </c>
      <c r="O175" s="16"/>
      <c r="P175" s="16"/>
      <c r="Q175" s="158"/>
      <c r="X175" s="216"/>
    </row>
    <row r="176" spans="1:24" s="67" customFormat="1" ht="12.75">
      <c r="A176" s="275" t="s">
        <v>172</v>
      </c>
      <c r="B176" s="72" t="b">
        <f t="shared" si="11"/>
        <v>0</v>
      </c>
      <c r="C176" s="72" t="b">
        <f t="shared" si="10"/>
        <v>0</v>
      </c>
      <c r="D176" s="72"/>
      <c r="E176" s="73"/>
      <c r="F176" s="73">
        <f>IF(C176,1,0)</f>
        <v>0</v>
      </c>
      <c r="G176" s="73">
        <f>IF(C176,1,0)</f>
        <v>0</v>
      </c>
      <c r="H176" s="73"/>
      <c r="I176" s="73"/>
      <c r="J176" s="328" t="s">
        <v>285</v>
      </c>
      <c r="K176" s="70">
        <f t="shared" si="12"/>
        <v>0</v>
      </c>
      <c r="L176" s="16"/>
      <c r="M176" s="16">
        <v>1</v>
      </c>
      <c r="N176" s="16">
        <v>1</v>
      </c>
      <c r="O176" s="16"/>
      <c r="P176" s="16"/>
      <c r="Q176" s="158"/>
      <c r="X176" s="216"/>
    </row>
    <row r="177" spans="1:24" s="67" customFormat="1" ht="12.75">
      <c r="A177" s="343"/>
      <c r="B177" s="68"/>
      <c r="C177" s="68"/>
      <c r="D177" s="68"/>
      <c r="E177" s="69"/>
      <c r="F177" s="69"/>
      <c r="G177" s="69"/>
      <c r="H177" s="69"/>
      <c r="I177" s="69"/>
      <c r="J177" s="234" t="s">
        <v>123</v>
      </c>
      <c r="K177" s="144"/>
      <c r="L177" s="29"/>
      <c r="M177" s="25"/>
      <c r="N177" s="25"/>
      <c r="O177" s="25"/>
      <c r="P177" s="14"/>
      <c r="Q177" s="158"/>
      <c r="X177" s="208"/>
    </row>
    <row r="178" spans="1:24" s="67" customFormat="1" ht="12.75" customHeight="1">
      <c r="A178" s="275" t="s">
        <v>172</v>
      </c>
      <c r="B178" s="63" t="b">
        <f t="shared" si="11"/>
        <v>0</v>
      </c>
      <c r="C178" s="63" t="b">
        <f t="shared" si="10"/>
        <v>0</v>
      </c>
      <c r="D178" s="63"/>
      <c r="E178" s="64"/>
      <c r="F178" s="64"/>
      <c r="G178" s="64"/>
      <c r="H178" s="64"/>
      <c r="I178" s="64"/>
      <c r="J178" s="132" t="s">
        <v>182</v>
      </c>
      <c r="K178" s="365" t="str">
        <f>IF(A178="Yes","Y",IF(A178="N/A","N/A","N"))</f>
        <v>N</v>
      </c>
      <c r="L178" s="14"/>
      <c r="M178" s="16"/>
      <c r="N178" s="15" t="s">
        <v>60</v>
      </c>
      <c r="O178" s="16"/>
      <c r="P178" s="16"/>
      <c r="Q178" s="158"/>
      <c r="X178" s="216"/>
    </row>
    <row r="179" spans="1:24" s="67" customFormat="1" ht="13.5" customHeight="1">
      <c r="A179" s="275" t="s">
        <v>172</v>
      </c>
      <c r="B179" s="72" t="b">
        <f t="shared" si="11"/>
        <v>0</v>
      </c>
      <c r="C179" s="72" t="b">
        <f t="shared" si="10"/>
        <v>0</v>
      </c>
      <c r="D179" s="72"/>
      <c r="E179" s="73"/>
      <c r="F179" s="73"/>
      <c r="G179" s="73">
        <f>IF(C179,1,0)</f>
        <v>0</v>
      </c>
      <c r="H179" s="73"/>
      <c r="I179" s="73"/>
      <c r="J179" s="133" t="s">
        <v>173</v>
      </c>
      <c r="K179" s="70">
        <f t="shared" si="12"/>
        <v>0</v>
      </c>
      <c r="L179" s="14"/>
      <c r="M179" s="16"/>
      <c r="N179" s="16">
        <v>1</v>
      </c>
      <c r="O179" s="16"/>
      <c r="P179" s="16"/>
      <c r="Q179" s="158"/>
      <c r="X179" s="216"/>
    </row>
    <row r="180" spans="1:24" s="67" customFormat="1" ht="12.75">
      <c r="A180" s="275" t="s">
        <v>172</v>
      </c>
      <c r="B180" s="108" t="b">
        <f>IF(A180="Yes",TRUE,FALSE)</f>
        <v>0</v>
      </c>
      <c r="C180" s="108" t="b">
        <f>B180</f>
        <v>0</v>
      </c>
      <c r="D180" s="108"/>
      <c r="E180" s="22"/>
      <c r="F180" s="22"/>
      <c r="G180" s="22"/>
      <c r="H180" s="22"/>
      <c r="I180" s="22"/>
      <c r="J180" s="231" t="s">
        <v>255</v>
      </c>
      <c r="K180" s="365" t="str">
        <f>IF(A180="Yes","Y",IF(A180="N/A","N/A","N"))</f>
        <v>N</v>
      </c>
      <c r="L180" s="14"/>
      <c r="M180" s="149"/>
      <c r="N180" s="15" t="s">
        <v>60</v>
      </c>
      <c r="O180" s="16"/>
      <c r="P180" s="16"/>
      <c r="Q180" s="158"/>
      <c r="X180" s="216"/>
    </row>
    <row r="181" spans="1:24" s="67" customFormat="1" ht="12.75">
      <c r="A181" s="344"/>
      <c r="B181" s="63"/>
      <c r="C181" s="63"/>
      <c r="D181" s="63"/>
      <c r="E181" s="64"/>
      <c r="F181" s="64"/>
      <c r="G181" s="64"/>
      <c r="H181" s="64"/>
      <c r="I181" s="64"/>
      <c r="J181" s="126" t="s">
        <v>297</v>
      </c>
      <c r="K181" s="135">
        <f>SUM(K149:K179)</f>
        <v>0</v>
      </c>
      <c r="L181" s="30"/>
      <c r="M181" s="30"/>
      <c r="N181" s="30"/>
      <c r="O181" s="30"/>
      <c r="P181" s="27"/>
      <c r="Q181" s="17"/>
      <c r="X181" s="208"/>
    </row>
    <row r="182" spans="1:24" s="117" customFormat="1" ht="12.75" customHeight="1">
      <c r="A182" s="346" t="s">
        <v>51</v>
      </c>
      <c r="B182" s="142"/>
      <c r="C182" s="142"/>
      <c r="D182" s="142"/>
      <c r="E182" s="143"/>
      <c r="F182" s="143"/>
      <c r="G182" s="143"/>
      <c r="H182" s="143"/>
      <c r="I182" s="143"/>
      <c r="J182" s="142"/>
      <c r="K182" s="70"/>
      <c r="L182" s="385" t="s">
        <v>23</v>
      </c>
      <c r="M182" s="381"/>
      <c r="N182" s="381"/>
      <c r="O182" s="381"/>
      <c r="P182" s="381"/>
      <c r="Q182" s="307"/>
      <c r="X182" s="208"/>
    </row>
    <row r="183" spans="1:24" s="67" customFormat="1" ht="39.75" customHeight="1">
      <c r="A183" s="324">
        <v>0</v>
      </c>
      <c r="B183" s="108" t="b">
        <f>IF(A183&gt;0.04,TRUE,FALSE)</f>
        <v>0</v>
      </c>
      <c r="C183" s="108" t="b">
        <f t="shared" si="10"/>
        <v>0</v>
      </c>
      <c r="D183" s="108"/>
      <c r="E183" s="22"/>
      <c r="F183" s="22">
        <f>(A183*25)</f>
        <v>0</v>
      </c>
      <c r="G183" s="22"/>
      <c r="H183" s="22"/>
      <c r="I183" s="22"/>
      <c r="J183" s="237" t="s">
        <v>269</v>
      </c>
      <c r="K183" s="70">
        <f>SUM(D183:I183)</f>
        <v>0</v>
      </c>
      <c r="L183" s="14"/>
      <c r="M183" s="16">
        <v>25</v>
      </c>
      <c r="N183" s="16"/>
      <c r="O183" s="16"/>
      <c r="P183" s="16"/>
      <c r="Q183" s="158"/>
      <c r="X183" s="216"/>
    </row>
    <row r="184" spans="1:24" s="67" customFormat="1" ht="12.75">
      <c r="A184" s="349"/>
      <c r="B184" s="68"/>
      <c r="C184" s="68"/>
      <c r="D184" s="68"/>
      <c r="E184" s="69"/>
      <c r="F184" s="69"/>
      <c r="G184" s="69"/>
      <c r="H184" s="69"/>
      <c r="I184" s="69"/>
      <c r="J184" s="145" t="s">
        <v>288</v>
      </c>
      <c r="K184" s="102">
        <f>SUM(K183:K183)</f>
        <v>0</v>
      </c>
      <c r="L184" s="30"/>
      <c r="M184" s="30"/>
      <c r="N184" s="30"/>
      <c r="O184" s="30"/>
      <c r="P184" s="27"/>
      <c r="Q184" s="17"/>
      <c r="X184" s="208"/>
    </row>
    <row r="185" spans="1:24" s="117" customFormat="1" ht="12.75" customHeight="1">
      <c r="A185" s="346" t="s">
        <v>29</v>
      </c>
      <c r="B185" s="142"/>
      <c r="C185" s="142"/>
      <c r="D185" s="142"/>
      <c r="E185" s="143"/>
      <c r="F185" s="143"/>
      <c r="G185" s="143"/>
      <c r="H185" s="143"/>
      <c r="I185" s="143"/>
      <c r="J185" s="146"/>
      <c r="K185" s="144"/>
      <c r="L185" s="381" t="s">
        <v>23</v>
      </c>
      <c r="M185" s="381"/>
      <c r="N185" s="381"/>
      <c r="O185" s="381"/>
      <c r="P185" s="381"/>
      <c r="Q185" s="307"/>
      <c r="X185" s="210"/>
    </row>
    <row r="186" spans="1:24" s="67" customFormat="1" ht="23.25" customHeight="1">
      <c r="A186" s="275" t="s">
        <v>172</v>
      </c>
      <c r="B186" s="108" t="b">
        <f>IF(AND(A186="Yes",$B$203=FALSE),TRUE,FALSE)</f>
        <v>0</v>
      </c>
      <c r="C186" s="108" t="b">
        <f>B186</f>
        <v>0</v>
      </c>
      <c r="D186" s="108"/>
      <c r="E186" s="22"/>
      <c r="F186" s="22"/>
      <c r="G186" s="22"/>
      <c r="H186" s="22"/>
      <c r="I186" s="22"/>
      <c r="J186" s="249" t="s">
        <v>293</v>
      </c>
      <c r="K186" s="365" t="str">
        <f>IF(A186="Yes","Y",IF(A186="N/A","N/A","N"))</f>
        <v>N</v>
      </c>
      <c r="L186" s="14"/>
      <c r="M186" s="15" t="s">
        <v>60</v>
      </c>
      <c r="N186" s="16"/>
      <c r="O186" s="16"/>
      <c r="P186" s="16"/>
      <c r="Q186" s="158"/>
      <c r="X186" s="210"/>
    </row>
    <row r="187" spans="1:24" s="67" customFormat="1" ht="27" customHeight="1">
      <c r="A187" s="345"/>
      <c r="B187" s="68"/>
      <c r="C187" s="63"/>
      <c r="D187" s="63"/>
      <c r="E187" s="64"/>
      <c r="F187" s="64"/>
      <c r="G187" s="64"/>
      <c r="H187" s="64"/>
      <c r="I187" s="64"/>
      <c r="J187" s="243" t="s">
        <v>289</v>
      </c>
      <c r="K187" s="70"/>
      <c r="L187" s="14"/>
      <c r="M187" s="15"/>
      <c r="N187" s="16"/>
      <c r="O187" s="16"/>
      <c r="P187" s="16"/>
      <c r="Q187" s="158"/>
      <c r="X187" s="208"/>
    </row>
    <row r="188" spans="1:24" s="67" customFormat="1" ht="13.5" customHeight="1">
      <c r="A188" s="345"/>
      <c r="B188" s="63"/>
      <c r="C188" s="63"/>
      <c r="D188" s="63"/>
      <c r="E188" s="64"/>
      <c r="F188" s="64"/>
      <c r="G188" s="64"/>
      <c r="H188" s="64"/>
      <c r="I188" s="64"/>
      <c r="J188" s="223" t="s">
        <v>130</v>
      </c>
      <c r="K188" s="70"/>
      <c r="L188" s="14"/>
      <c r="M188" s="15"/>
      <c r="N188" s="16"/>
      <c r="O188" s="16"/>
      <c r="P188" s="16"/>
      <c r="Q188" s="158"/>
      <c r="X188" s="212"/>
    </row>
    <row r="189" spans="1:24" s="67" customFormat="1" ht="13.5" customHeight="1">
      <c r="A189" s="361" t="s">
        <v>172</v>
      </c>
      <c r="B189" s="108" t="b">
        <f aca="true" t="shared" si="13" ref="B189:B195">IF(AND(A189="Yes",$B$203=FALSE),TRUE,FALSE)</f>
        <v>0</v>
      </c>
      <c r="C189" s="63" t="b">
        <f>B189</f>
        <v>0</v>
      </c>
      <c r="D189" s="63">
        <f>IF(C189,1,0)</f>
        <v>0</v>
      </c>
      <c r="E189" s="64"/>
      <c r="F189" s="64">
        <f aca="true" t="shared" si="14" ref="F189:F194">IF($D$203&lt;2,0,D189)</f>
        <v>0</v>
      </c>
      <c r="G189" s="64"/>
      <c r="H189" s="64"/>
      <c r="I189" s="64"/>
      <c r="J189" s="223" t="s">
        <v>148</v>
      </c>
      <c r="K189" s="70">
        <f>IF($N$3="Whole House",0,SUM(F189))</f>
        <v>0</v>
      </c>
      <c r="L189" s="14"/>
      <c r="M189" s="16">
        <v>1</v>
      </c>
      <c r="N189" s="16"/>
      <c r="O189" s="16"/>
      <c r="P189" s="16"/>
      <c r="Q189" s="158"/>
      <c r="X189" s="212"/>
    </row>
    <row r="190" spans="1:24" s="67" customFormat="1" ht="13.5" customHeight="1">
      <c r="A190" s="361" t="s">
        <v>172</v>
      </c>
      <c r="B190" s="108" t="b">
        <f t="shared" si="13"/>
        <v>0</v>
      </c>
      <c r="C190" s="63" t="b">
        <f aca="true" t="shared" si="15" ref="C190:C202">B190</f>
        <v>0</v>
      </c>
      <c r="D190" s="63">
        <f aca="true" t="shared" si="16" ref="D190:D195">IF(C190,1,0)</f>
        <v>0</v>
      </c>
      <c r="E190" s="64"/>
      <c r="F190" s="64">
        <f t="shared" si="14"/>
        <v>0</v>
      </c>
      <c r="G190" s="64"/>
      <c r="H190" s="64"/>
      <c r="I190" s="64"/>
      <c r="J190" s="223" t="s">
        <v>149</v>
      </c>
      <c r="K190" s="70">
        <f aca="true" t="shared" si="17" ref="K190:K202">IF($N$3="Whole House",0,SUM(F190))</f>
        <v>0</v>
      </c>
      <c r="L190" s="14"/>
      <c r="M190" s="16">
        <v>1</v>
      </c>
      <c r="N190" s="16"/>
      <c r="O190" s="16"/>
      <c r="P190" s="16"/>
      <c r="Q190" s="158"/>
      <c r="X190" s="212"/>
    </row>
    <row r="191" spans="1:24" s="67" customFormat="1" ht="13.5" customHeight="1">
      <c r="A191" s="361" t="s">
        <v>172</v>
      </c>
      <c r="B191" s="108" t="b">
        <f t="shared" si="13"/>
        <v>0</v>
      </c>
      <c r="C191" s="63" t="b">
        <f t="shared" si="15"/>
        <v>0</v>
      </c>
      <c r="D191" s="63">
        <f t="shared" si="16"/>
        <v>0</v>
      </c>
      <c r="E191" s="64"/>
      <c r="F191" s="64">
        <f t="shared" si="14"/>
        <v>0</v>
      </c>
      <c r="G191" s="64"/>
      <c r="H191" s="64"/>
      <c r="I191" s="64"/>
      <c r="J191" s="223" t="s">
        <v>150</v>
      </c>
      <c r="K191" s="70">
        <f t="shared" si="17"/>
        <v>0</v>
      </c>
      <c r="L191" s="14"/>
      <c r="M191" s="16">
        <v>1</v>
      </c>
      <c r="N191" s="16"/>
      <c r="O191" s="16"/>
      <c r="P191" s="16"/>
      <c r="Q191" s="158"/>
      <c r="X191" s="212"/>
    </row>
    <row r="192" spans="1:24" s="67" customFormat="1" ht="13.5" customHeight="1">
      <c r="A192" s="361" t="s">
        <v>172</v>
      </c>
      <c r="B192" s="108" t="b">
        <f t="shared" si="13"/>
        <v>0</v>
      </c>
      <c r="C192" s="63" t="b">
        <f t="shared" si="15"/>
        <v>0</v>
      </c>
      <c r="D192" s="63">
        <f t="shared" si="16"/>
        <v>0</v>
      </c>
      <c r="E192" s="64"/>
      <c r="F192" s="64">
        <f t="shared" si="14"/>
        <v>0</v>
      </c>
      <c r="G192" s="64"/>
      <c r="H192" s="64"/>
      <c r="I192" s="64"/>
      <c r="J192" s="223" t="s">
        <v>151</v>
      </c>
      <c r="K192" s="70">
        <f t="shared" si="17"/>
        <v>0</v>
      </c>
      <c r="L192" s="14"/>
      <c r="M192" s="16">
        <v>1</v>
      </c>
      <c r="N192" s="16"/>
      <c r="O192" s="16"/>
      <c r="P192" s="16"/>
      <c r="Q192" s="158"/>
      <c r="X192" s="212"/>
    </row>
    <row r="193" spans="1:24" s="67" customFormat="1" ht="13.5" customHeight="1">
      <c r="A193" s="361" t="s">
        <v>172</v>
      </c>
      <c r="B193" s="108" t="b">
        <f t="shared" si="13"/>
        <v>0</v>
      </c>
      <c r="C193" s="63" t="b">
        <f t="shared" si="15"/>
        <v>0</v>
      </c>
      <c r="D193" s="63">
        <f t="shared" si="16"/>
        <v>0</v>
      </c>
      <c r="E193" s="64"/>
      <c r="F193" s="64">
        <f t="shared" si="14"/>
        <v>0</v>
      </c>
      <c r="G193" s="64"/>
      <c r="H193" s="64"/>
      <c r="I193" s="64"/>
      <c r="J193" s="223" t="s">
        <v>152</v>
      </c>
      <c r="K193" s="70">
        <f t="shared" si="17"/>
        <v>0</v>
      </c>
      <c r="L193" s="14"/>
      <c r="M193" s="16">
        <v>1</v>
      </c>
      <c r="N193" s="16"/>
      <c r="O193" s="16"/>
      <c r="P193" s="16"/>
      <c r="Q193" s="158"/>
      <c r="X193" s="212"/>
    </row>
    <row r="194" spans="1:24" s="67" customFormat="1" ht="13.5" customHeight="1">
      <c r="A194" s="361" t="s">
        <v>172</v>
      </c>
      <c r="B194" s="108" t="b">
        <f t="shared" si="13"/>
        <v>0</v>
      </c>
      <c r="C194" s="63" t="b">
        <f t="shared" si="15"/>
        <v>0</v>
      </c>
      <c r="D194" s="63">
        <f t="shared" si="16"/>
        <v>0</v>
      </c>
      <c r="E194" s="64"/>
      <c r="F194" s="64">
        <f t="shared" si="14"/>
        <v>0</v>
      </c>
      <c r="G194" s="64"/>
      <c r="H194" s="64"/>
      <c r="I194" s="64"/>
      <c r="J194" s="223" t="s">
        <v>315</v>
      </c>
      <c r="K194" s="70">
        <f t="shared" si="17"/>
        <v>0</v>
      </c>
      <c r="L194" s="14"/>
      <c r="M194" s="16">
        <v>1</v>
      </c>
      <c r="N194" s="16"/>
      <c r="O194" s="16"/>
      <c r="P194" s="16"/>
      <c r="Q194" s="158"/>
      <c r="X194" s="212"/>
    </row>
    <row r="195" spans="1:24" s="67" customFormat="1" ht="13.5" customHeight="1">
      <c r="A195" s="361" t="s">
        <v>172</v>
      </c>
      <c r="B195" s="108" t="b">
        <f t="shared" si="13"/>
        <v>0</v>
      </c>
      <c r="C195" s="63" t="b">
        <f>B195</f>
        <v>0</v>
      </c>
      <c r="D195" s="63">
        <f t="shared" si="16"/>
        <v>0</v>
      </c>
      <c r="E195" s="64"/>
      <c r="F195" s="64">
        <f>IF(OR(SUM(D189:D194)&gt;5,$D$203&lt;2),0,D195)</f>
        <v>0</v>
      </c>
      <c r="G195" s="64"/>
      <c r="H195" s="64"/>
      <c r="I195" s="64"/>
      <c r="J195" s="223" t="s">
        <v>183</v>
      </c>
      <c r="K195" s="70">
        <f t="shared" si="17"/>
        <v>0</v>
      </c>
      <c r="L195" s="14"/>
      <c r="M195" s="16">
        <v>1</v>
      </c>
      <c r="N195" s="16"/>
      <c r="O195" s="16"/>
      <c r="P195" s="16"/>
      <c r="Q195" s="158"/>
      <c r="X195" s="212"/>
    </row>
    <row r="196" spans="1:24" s="67" customFormat="1" ht="13.5" customHeight="1">
      <c r="A196" s="279"/>
      <c r="B196" s="63"/>
      <c r="C196" s="63"/>
      <c r="D196" s="63"/>
      <c r="E196" s="64"/>
      <c r="F196" s="64"/>
      <c r="G196" s="64"/>
      <c r="H196" s="64"/>
      <c r="I196" s="64"/>
      <c r="J196" s="223" t="s">
        <v>131</v>
      </c>
      <c r="K196" s="70"/>
      <c r="L196" s="14"/>
      <c r="M196" s="16"/>
      <c r="N196" s="16"/>
      <c r="O196" s="16"/>
      <c r="P196" s="16"/>
      <c r="Q196" s="158"/>
      <c r="X196" s="212"/>
    </row>
    <row r="197" spans="1:24" s="67" customFormat="1" ht="13.5" customHeight="1">
      <c r="A197" s="361" t="s">
        <v>172</v>
      </c>
      <c r="B197" s="108" t="b">
        <f aca="true" t="shared" si="18" ref="B197:B202">IF(AND(A197="Yes",$B$203=FALSE),TRUE,FALSE)</f>
        <v>0</v>
      </c>
      <c r="C197" s="63" t="b">
        <f t="shared" si="15"/>
        <v>0</v>
      </c>
      <c r="D197" s="367">
        <f aca="true" t="shared" si="19" ref="D197:D202">IF(C197,0.5,0)</f>
        <v>0</v>
      </c>
      <c r="E197" s="64"/>
      <c r="F197" s="64">
        <f>IF(D197=0,0,IF(OR($D$203&lt;2,SUM(F189:F195)&gt;5.5),0,D197))</f>
        <v>0</v>
      </c>
      <c r="G197" s="64"/>
      <c r="H197" s="64"/>
      <c r="I197" s="64"/>
      <c r="J197" s="223" t="s">
        <v>317</v>
      </c>
      <c r="K197" s="70">
        <f t="shared" si="17"/>
        <v>0</v>
      </c>
      <c r="L197" s="14"/>
      <c r="M197" s="16">
        <v>0.5</v>
      </c>
      <c r="N197" s="16"/>
      <c r="O197" s="16"/>
      <c r="P197" s="16"/>
      <c r="Q197" s="158"/>
      <c r="X197" s="212"/>
    </row>
    <row r="198" spans="1:24" s="67" customFormat="1" ht="13.5" customHeight="1">
      <c r="A198" s="361" t="s">
        <v>172</v>
      </c>
      <c r="B198" s="108" t="b">
        <f t="shared" si="18"/>
        <v>0</v>
      </c>
      <c r="C198" s="63" t="b">
        <f t="shared" si="15"/>
        <v>0</v>
      </c>
      <c r="D198" s="367">
        <f t="shared" si="19"/>
        <v>0</v>
      </c>
      <c r="E198" s="64"/>
      <c r="F198" s="64">
        <f>IF(D198=0,0,IF(OR($D$203&lt;2,SUM(F189:F197)&gt;5.5),0,D198))</f>
        <v>0</v>
      </c>
      <c r="G198" s="64"/>
      <c r="H198" s="64"/>
      <c r="I198" s="64"/>
      <c r="J198" s="223" t="s">
        <v>153</v>
      </c>
      <c r="K198" s="70">
        <f t="shared" si="17"/>
        <v>0</v>
      </c>
      <c r="L198" s="14"/>
      <c r="M198" s="16">
        <v>0.5</v>
      </c>
      <c r="N198" s="16"/>
      <c r="O198" s="16"/>
      <c r="P198" s="16"/>
      <c r="Q198" s="158"/>
      <c r="X198" s="212"/>
    </row>
    <row r="199" spans="1:24" s="67" customFormat="1" ht="13.5" customHeight="1">
      <c r="A199" s="361" t="s">
        <v>172</v>
      </c>
      <c r="B199" s="108" t="b">
        <f t="shared" si="18"/>
        <v>0</v>
      </c>
      <c r="C199" s="63" t="b">
        <f t="shared" si="15"/>
        <v>0</v>
      </c>
      <c r="D199" s="367">
        <f t="shared" si="19"/>
        <v>0</v>
      </c>
      <c r="E199" s="64"/>
      <c r="F199" s="64">
        <f>IF(D199=0,0,IF(OR($D$203&lt;2,SUM(F189:F198)&gt;5.5),0,D199))</f>
        <v>0</v>
      </c>
      <c r="G199" s="64"/>
      <c r="H199" s="64"/>
      <c r="I199" s="64"/>
      <c r="J199" s="223" t="s">
        <v>154</v>
      </c>
      <c r="K199" s="70">
        <f t="shared" si="17"/>
        <v>0</v>
      </c>
      <c r="L199" s="14"/>
      <c r="M199" s="16">
        <v>0.5</v>
      </c>
      <c r="N199" s="16"/>
      <c r="O199" s="16"/>
      <c r="P199" s="16"/>
      <c r="Q199" s="158"/>
      <c r="X199" s="173"/>
    </row>
    <row r="200" spans="1:24" s="67" customFormat="1" ht="13.5" customHeight="1">
      <c r="A200" s="361" t="s">
        <v>172</v>
      </c>
      <c r="B200" s="108" t="b">
        <f t="shared" si="18"/>
        <v>0</v>
      </c>
      <c r="C200" s="63" t="b">
        <f t="shared" si="15"/>
        <v>0</v>
      </c>
      <c r="D200" s="367">
        <f t="shared" si="19"/>
        <v>0</v>
      </c>
      <c r="E200" s="64"/>
      <c r="F200" s="64">
        <f>IF(D200=0,0,IF(OR($D$203&lt;2,SUM(F189:F199)&gt;5.5),0,D200))</f>
        <v>0</v>
      </c>
      <c r="G200" s="64"/>
      <c r="H200" s="64"/>
      <c r="I200" s="64"/>
      <c r="J200" s="132" t="s">
        <v>155</v>
      </c>
      <c r="K200" s="70">
        <f t="shared" si="17"/>
        <v>0</v>
      </c>
      <c r="L200" s="14"/>
      <c r="M200" s="16">
        <v>0.5</v>
      </c>
      <c r="N200" s="16"/>
      <c r="O200" s="16"/>
      <c r="P200" s="16"/>
      <c r="Q200" s="158"/>
      <c r="X200" s="173"/>
    </row>
    <row r="201" spans="1:24" s="67" customFormat="1" ht="13.5" customHeight="1">
      <c r="A201" s="361" t="s">
        <v>172</v>
      </c>
      <c r="B201" s="108" t="b">
        <f t="shared" si="18"/>
        <v>0</v>
      </c>
      <c r="C201" s="63" t="b">
        <f t="shared" si="15"/>
        <v>0</v>
      </c>
      <c r="D201" s="367">
        <f t="shared" si="19"/>
        <v>0</v>
      </c>
      <c r="E201" s="64"/>
      <c r="F201" s="64">
        <f>IF(D201=0,0,IF(OR($D$203&lt;2,SUM(F189:F200)&gt;5.5),0,D201))</f>
        <v>0</v>
      </c>
      <c r="G201" s="64"/>
      <c r="H201" s="64"/>
      <c r="I201" s="64"/>
      <c r="J201" s="132" t="s">
        <v>318</v>
      </c>
      <c r="K201" s="70">
        <f t="shared" si="17"/>
        <v>0</v>
      </c>
      <c r="L201" s="14"/>
      <c r="M201" s="16">
        <v>0.5</v>
      </c>
      <c r="N201" s="16"/>
      <c r="O201" s="16"/>
      <c r="P201" s="16"/>
      <c r="Q201" s="158"/>
      <c r="X201" s="173"/>
    </row>
    <row r="202" spans="1:24" s="67" customFormat="1" ht="13.5" customHeight="1">
      <c r="A202" s="361" t="s">
        <v>172</v>
      </c>
      <c r="B202" s="108" t="b">
        <f t="shared" si="18"/>
        <v>0</v>
      </c>
      <c r="C202" s="63" t="b">
        <f t="shared" si="15"/>
        <v>0</v>
      </c>
      <c r="D202" s="367">
        <f t="shared" si="19"/>
        <v>0</v>
      </c>
      <c r="E202" s="64"/>
      <c r="F202" s="64">
        <f>IF(D202=0,0,IF(OR($D$203&lt;2,SUM(F189:F201)&gt;5.5),0,D202))</f>
        <v>0</v>
      </c>
      <c r="G202" s="64"/>
      <c r="H202" s="64"/>
      <c r="I202" s="64"/>
      <c r="J202" s="132" t="s">
        <v>316</v>
      </c>
      <c r="K202" s="70">
        <f t="shared" si="17"/>
        <v>0</v>
      </c>
      <c r="L202" s="14"/>
      <c r="M202" s="16">
        <v>0.5</v>
      </c>
      <c r="N202" s="16"/>
      <c r="O202" s="16"/>
      <c r="P202" s="16"/>
      <c r="Q202" s="158"/>
      <c r="X202" s="173"/>
    </row>
    <row r="203" spans="1:24" s="67" customFormat="1" ht="26.25" customHeight="1">
      <c r="A203" s="362"/>
      <c r="B203" s="63" t="b">
        <f>IF(A203&gt;0,TRUE,FALSE)</f>
        <v>0</v>
      </c>
      <c r="C203" s="63" t="b">
        <f aca="true" t="shared" si="20" ref="C203:C208">B203</f>
        <v>0</v>
      </c>
      <c r="D203" s="63">
        <f>SUM(D189:D202)</f>
        <v>0</v>
      </c>
      <c r="E203" s="64"/>
      <c r="F203" s="364">
        <f>IF(C203,IF(A203&gt;84,(85/A203)*20+10,30+(2*(85-A203))),0)</f>
        <v>0</v>
      </c>
      <c r="G203" s="64"/>
      <c r="H203" s="64"/>
      <c r="I203" s="64"/>
      <c r="J203" s="243" t="s">
        <v>274</v>
      </c>
      <c r="K203" s="366">
        <f>F203</f>
        <v>0</v>
      </c>
      <c r="L203" s="14"/>
      <c r="M203" s="15" t="s">
        <v>275</v>
      </c>
      <c r="N203" s="16"/>
      <c r="O203" s="16"/>
      <c r="P203" s="16"/>
      <c r="Q203" s="158"/>
      <c r="X203" s="210"/>
    </row>
    <row r="204" spans="1:24" s="67" customFormat="1" ht="12.75">
      <c r="A204" s="275" t="s">
        <v>172</v>
      </c>
      <c r="B204" s="108" t="b">
        <f>IF(A204="Yes",TRUE,FALSE)</f>
        <v>0</v>
      </c>
      <c r="C204" s="67" t="b">
        <f t="shared" si="20"/>
        <v>0</v>
      </c>
      <c r="F204" s="67">
        <f>IF(C204,5,0)</f>
        <v>0</v>
      </c>
      <c r="J204" s="247" t="s">
        <v>276</v>
      </c>
      <c r="K204" s="70">
        <f>SUM(E204:I204)</f>
        <v>0</v>
      </c>
      <c r="L204" s="131"/>
      <c r="M204" s="16">
        <v>5</v>
      </c>
      <c r="N204" s="24"/>
      <c r="O204" s="24"/>
      <c r="P204" s="24"/>
      <c r="Q204" s="273"/>
      <c r="R204" s="97"/>
      <c r="X204" s="208"/>
    </row>
    <row r="205" spans="1:24" s="67" customFormat="1" ht="14.25" customHeight="1">
      <c r="A205" s="275" t="s">
        <v>172</v>
      </c>
      <c r="B205" s="55" t="b">
        <f>IF(A205="Yes",TRUE,FALSE)</f>
        <v>0</v>
      </c>
      <c r="C205" s="55" t="b">
        <f t="shared" si="20"/>
        <v>0</v>
      </c>
      <c r="D205" s="55"/>
      <c r="E205" s="147"/>
      <c r="F205" s="147">
        <f>IF(C205,1,0)</f>
        <v>0</v>
      </c>
      <c r="G205" s="147"/>
      <c r="H205" s="147"/>
      <c r="I205" s="147"/>
      <c r="J205" s="229" t="s">
        <v>277</v>
      </c>
      <c r="K205" s="70">
        <f>F205</f>
        <v>0</v>
      </c>
      <c r="L205" s="16"/>
      <c r="M205" s="16">
        <v>1</v>
      </c>
      <c r="N205" s="16"/>
      <c r="O205" s="16"/>
      <c r="P205" s="16"/>
      <c r="Q205" s="158"/>
      <c r="X205" s="208"/>
    </row>
    <row r="206" spans="1:24" s="67" customFormat="1" ht="12.75">
      <c r="A206" s="350"/>
      <c r="B206" s="108"/>
      <c r="C206" s="108">
        <f t="shared" si="20"/>
        <v>0</v>
      </c>
      <c r="D206" s="108"/>
      <c r="E206" s="22"/>
      <c r="F206" s="22"/>
      <c r="G206" s="22"/>
      <c r="H206" s="22"/>
      <c r="I206" s="22"/>
      <c r="J206" s="250" t="s">
        <v>290</v>
      </c>
      <c r="K206" s="102">
        <f>SUM(K186:K205)</f>
        <v>0</v>
      </c>
      <c r="L206" s="30"/>
      <c r="M206" s="30"/>
      <c r="N206" s="30"/>
      <c r="O206" s="30"/>
      <c r="P206" s="27"/>
      <c r="Q206" s="17"/>
      <c r="X206" s="208"/>
    </row>
    <row r="207" spans="1:24" s="117" customFormat="1" ht="12.75" customHeight="1">
      <c r="A207" s="339" t="s">
        <v>35</v>
      </c>
      <c r="B207" s="103"/>
      <c r="C207" s="103">
        <f t="shared" si="20"/>
        <v>0</v>
      </c>
      <c r="D207" s="103"/>
      <c r="E207" s="104"/>
      <c r="F207" s="104"/>
      <c r="G207" s="104"/>
      <c r="H207" s="104"/>
      <c r="I207" s="104"/>
      <c r="J207" s="245"/>
      <c r="K207" s="70"/>
      <c r="L207" s="389" t="s">
        <v>23</v>
      </c>
      <c r="M207" s="390"/>
      <c r="N207" s="390"/>
      <c r="O207" s="390"/>
      <c r="P207" s="390"/>
      <c r="Q207" s="307"/>
      <c r="X207" s="208"/>
    </row>
    <row r="208" spans="1:24" s="67" customFormat="1" ht="12.75">
      <c r="A208" s="275" t="s">
        <v>172</v>
      </c>
      <c r="B208" s="108" t="b">
        <f>IF(A208="Yes",TRUE,FALSE)</f>
        <v>0</v>
      </c>
      <c r="C208" s="108" t="b">
        <f t="shared" si="20"/>
        <v>0</v>
      </c>
      <c r="D208" s="108"/>
      <c r="E208" s="22"/>
      <c r="F208" s="22"/>
      <c r="G208" s="22">
        <f>IF(C208,1,0)</f>
        <v>0</v>
      </c>
      <c r="H208" s="22"/>
      <c r="I208" s="22"/>
      <c r="J208" s="232" t="s">
        <v>57</v>
      </c>
      <c r="K208" s="70">
        <f aca="true" t="shared" si="21" ref="K208:K226">SUM(D208:I208)</f>
        <v>0</v>
      </c>
      <c r="L208" s="14"/>
      <c r="M208" s="16"/>
      <c r="N208" s="16">
        <v>1</v>
      </c>
      <c r="O208" s="16"/>
      <c r="P208" s="16"/>
      <c r="Q208" s="158"/>
      <c r="X208" s="216"/>
    </row>
    <row r="209" spans="1:24" s="67" customFormat="1" ht="14.25" customHeight="1">
      <c r="A209" s="343"/>
      <c r="B209" s="68"/>
      <c r="C209" s="68"/>
      <c r="D209" s="68"/>
      <c r="E209" s="69"/>
      <c r="F209" s="69"/>
      <c r="G209" s="69"/>
      <c r="H209" s="69"/>
      <c r="I209" s="69"/>
      <c r="J209" s="229" t="s">
        <v>58</v>
      </c>
      <c r="K209" s="70"/>
      <c r="L209" s="29"/>
      <c r="M209" s="25"/>
      <c r="N209" s="25"/>
      <c r="O209" s="25"/>
      <c r="P209" s="14"/>
      <c r="Q209" s="158"/>
      <c r="X209" s="208"/>
    </row>
    <row r="210" spans="1:24" s="67" customFormat="1" ht="12.75" customHeight="1">
      <c r="A210" s="276" t="s">
        <v>172</v>
      </c>
      <c r="B210" s="253" t="b">
        <f>IF(OR(A210="TBD",A210="No"),FALSE,TRUE)</f>
        <v>0</v>
      </c>
      <c r="C210" s="72" t="b">
        <f>B210</f>
        <v>0</v>
      </c>
      <c r="D210" s="63"/>
      <c r="E210" s="64"/>
      <c r="F210" s="64"/>
      <c r="G210" s="64">
        <f>IF(C210,IF(A210="≥90%",1,A210),0)</f>
        <v>0</v>
      </c>
      <c r="H210" s="64"/>
      <c r="I210" s="64"/>
      <c r="J210" s="224" t="s">
        <v>67</v>
      </c>
      <c r="K210" s="70">
        <f>SUM(E210:I210)</f>
        <v>0</v>
      </c>
      <c r="L210" s="14"/>
      <c r="M210" s="16"/>
      <c r="N210" s="16">
        <v>1</v>
      </c>
      <c r="O210" s="16"/>
      <c r="P210" s="16"/>
      <c r="Q210" s="158"/>
      <c r="X210" s="216"/>
    </row>
    <row r="211" spans="1:24" s="67" customFormat="1" ht="13.5" customHeight="1">
      <c r="A211" s="276" t="s">
        <v>172</v>
      </c>
      <c r="B211" s="253" t="b">
        <f>IF(OR(A211="TBD",A211="No"),FALSE,TRUE)</f>
        <v>0</v>
      </c>
      <c r="C211" s="72" t="b">
        <f>B211</f>
        <v>0</v>
      </c>
      <c r="D211" s="63"/>
      <c r="E211" s="64"/>
      <c r="F211" s="64"/>
      <c r="G211" s="64">
        <f>IF(C211,IF(A211="≥90%",2,2*A211),0)</f>
        <v>0</v>
      </c>
      <c r="H211" s="64"/>
      <c r="I211" s="64"/>
      <c r="J211" s="224" t="s">
        <v>68</v>
      </c>
      <c r="K211" s="70">
        <f t="shared" si="21"/>
        <v>0</v>
      </c>
      <c r="L211" s="14"/>
      <c r="M211" s="16"/>
      <c r="N211" s="16">
        <v>2</v>
      </c>
      <c r="O211" s="16"/>
      <c r="P211" s="16"/>
      <c r="Q211" s="158"/>
      <c r="X211" s="208"/>
    </row>
    <row r="212" spans="1:24" s="67" customFormat="1" ht="12.75">
      <c r="A212" s="276" t="s">
        <v>172</v>
      </c>
      <c r="B212" s="253" t="b">
        <f>IF(OR(A212="TBD",A212="No"),FALSE,TRUE)</f>
        <v>0</v>
      </c>
      <c r="C212" s="72" t="b">
        <f>B212</f>
        <v>0</v>
      </c>
      <c r="D212" s="63"/>
      <c r="E212" s="64"/>
      <c r="F212" s="64"/>
      <c r="G212" s="64">
        <f>IF(C212,IF(A212="≥90%",2,2*A212),0)</f>
        <v>0</v>
      </c>
      <c r="H212" s="64"/>
      <c r="I212" s="64"/>
      <c r="J212" s="246" t="s">
        <v>75</v>
      </c>
      <c r="K212" s="70">
        <f t="shared" si="21"/>
        <v>0</v>
      </c>
      <c r="L212" s="14"/>
      <c r="M212" s="16"/>
      <c r="N212" s="16">
        <v>2</v>
      </c>
      <c r="O212" s="16"/>
      <c r="P212" s="16"/>
      <c r="Q212" s="158"/>
      <c r="X212" s="216"/>
    </row>
    <row r="213" spans="1:24" s="67" customFormat="1" ht="12.75">
      <c r="A213" s="276" t="s">
        <v>172</v>
      </c>
      <c r="B213" s="253" t="b">
        <f>IF(OR(A213="TBD",A213="No"),FALSE,TRUE)</f>
        <v>0</v>
      </c>
      <c r="C213" s="72" t="b">
        <f>B213</f>
        <v>0</v>
      </c>
      <c r="D213" s="108"/>
      <c r="E213" s="22"/>
      <c r="F213" s="22"/>
      <c r="G213" s="64">
        <f>IF(C213,IF(A213="≥90%",2,2*A213),0)</f>
        <v>0</v>
      </c>
      <c r="H213" s="22"/>
      <c r="I213" s="22"/>
      <c r="J213" s="232" t="s">
        <v>1</v>
      </c>
      <c r="K213" s="70">
        <f t="shared" si="21"/>
        <v>0</v>
      </c>
      <c r="L213" s="14"/>
      <c r="M213" s="16"/>
      <c r="N213" s="16">
        <v>2</v>
      </c>
      <c r="O213" s="16"/>
      <c r="P213" s="16"/>
      <c r="Q213" s="158"/>
      <c r="X213" s="216"/>
    </row>
    <row r="214" spans="1:24" s="67" customFormat="1" ht="15.75" customHeight="1">
      <c r="A214" s="276" t="s">
        <v>172</v>
      </c>
      <c r="B214" s="253" t="b">
        <f>IF(OR(A214="TBD",A214="No"),FALSE,TRUE)</f>
        <v>0</v>
      </c>
      <c r="C214" s="72" t="b">
        <f>B214</f>
        <v>0</v>
      </c>
      <c r="D214" s="108"/>
      <c r="E214" s="22"/>
      <c r="F214" s="22"/>
      <c r="G214" s="22"/>
      <c r="H214" s="64">
        <f>IF(C214,IF(A214="≥90%",1,A214),0)</f>
        <v>0</v>
      </c>
      <c r="I214" s="22"/>
      <c r="J214" s="232" t="s">
        <v>239</v>
      </c>
      <c r="K214" s="70">
        <f t="shared" si="21"/>
        <v>0</v>
      </c>
      <c r="L214" s="14"/>
      <c r="M214" s="16"/>
      <c r="N214" s="16"/>
      <c r="O214" s="16">
        <v>1</v>
      </c>
      <c r="P214" s="16"/>
      <c r="Q214" s="158"/>
      <c r="X214" s="208"/>
    </row>
    <row r="215" spans="1:24" s="67" customFormat="1" ht="24">
      <c r="A215" s="345"/>
      <c r="B215" s="68"/>
      <c r="C215" s="68"/>
      <c r="D215" s="68"/>
      <c r="E215" s="69"/>
      <c r="F215" s="69"/>
      <c r="G215" s="69"/>
      <c r="H215" s="69"/>
      <c r="I215" s="69"/>
      <c r="J215" s="247" t="s">
        <v>184</v>
      </c>
      <c r="K215" s="70"/>
      <c r="L215" s="29"/>
      <c r="M215" s="25"/>
      <c r="N215" s="25"/>
      <c r="O215" s="25"/>
      <c r="P215" s="14"/>
      <c r="Q215" s="158"/>
      <c r="X215" s="208"/>
    </row>
    <row r="216" spans="1:24" s="67" customFormat="1" ht="12.75">
      <c r="A216" s="276" t="s">
        <v>172</v>
      </c>
      <c r="B216" s="253" t="b">
        <f>IF(OR(A216="TBD",A216="No"),FALSE,TRUE)</f>
        <v>0</v>
      </c>
      <c r="C216" s="72" t="b">
        <f aca="true" t="shared" si="22" ref="C216:C221">B216</f>
        <v>0</v>
      </c>
      <c r="D216" s="63"/>
      <c r="E216" s="64"/>
      <c r="F216" s="64"/>
      <c r="G216" s="64"/>
      <c r="H216" s="64">
        <f aca="true" t="shared" si="23" ref="H216:H221">IF(C216,IF(A216="≥90%",1,A216),0)</f>
        <v>0</v>
      </c>
      <c r="I216" s="64"/>
      <c r="J216" s="132" t="s">
        <v>167</v>
      </c>
      <c r="K216" s="70">
        <f t="shared" si="21"/>
        <v>0</v>
      </c>
      <c r="L216" s="14"/>
      <c r="M216" s="16"/>
      <c r="N216" s="16"/>
      <c r="O216" s="16">
        <v>1</v>
      </c>
      <c r="P216" s="16"/>
      <c r="Q216" s="158"/>
      <c r="X216" s="216"/>
    </row>
    <row r="217" spans="1:24" s="67" customFormat="1" ht="12.75">
      <c r="A217" s="276" t="s">
        <v>172</v>
      </c>
      <c r="B217" s="253" t="b">
        <f>IF(OR(A217="TBD",A217="No"),FALSE,TRUE)</f>
        <v>0</v>
      </c>
      <c r="C217" s="72" t="b">
        <f t="shared" si="22"/>
        <v>0</v>
      </c>
      <c r="D217" s="63"/>
      <c r="E217" s="64"/>
      <c r="F217" s="64"/>
      <c r="G217" s="64"/>
      <c r="H217" s="64">
        <f t="shared" si="23"/>
        <v>0</v>
      </c>
      <c r="I217" s="64"/>
      <c r="J217" s="132" t="s">
        <v>168</v>
      </c>
      <c r="K217" s="70">
        <f t="shared" si="21"/>
        <v>0</v>
      </c>
      <c r="L217" s="14"/>
      <c r="M217" s="16"/>
      <c r="N217" s="16"/>
      <c r="O217" s="16">
        <v>1</v>
      </c>
      <c r="P217" s="16"/>
      <c r="Q217" s="158"/>
      <c r="X217" s="216"/>
    </row>
    <row r="218" spans="1:24" s="67" customFormat="1" ht="12.75">
      <c r="A218" s="276" t="s">
        <v>172</v>
      </c>
      <c r="B218" s="253" t="b">
        <f>IF(OR(A218="TBD",A218="No"),FALSE,TRUE)</f>
        <v>0</v>
      </c>
      <c r="C218" s="72" t="b">
        <f t="shared" si="22"/>
        <v>0</v>
      </c>
      <c r="D218" s="63"/>
      <c r="E218" s="64"/>
      <c r="F218" s="64"/>
      <c r="G218" s="64"/>
      <c r="H218" s="64">
        <f t="shared" si="23"/>
        <v>0</v>
      </c>
      <c r="I218" s="64"/>
      <c r="J218" s="132" t="s">
        <v>169</v>
      </c>
      <c r="K218" s="70">
        <f t="shared" si="21"/>
        <v>0</v>
      </c>
      <c r="L218" s="14"/>
      <c r="M218" s="16"/>
      <c r="N218" s="16"/>
      <c r="O218" s="16">
        <v>1</v>
      </c>
      <c r="P218" s="16"/>
      <c r="Q218" s="158"/>
      <c r="X218" s="208"/>
    </row>
    <row r="219" spans="1:24" s="67" customFormat="1" ht="12.75">
      <c r="A219" s="276" t="s">
        <v>172</v>
      </c>
      <c r="B219" s="253" t="b">
        <f>IF(OR(A219="TBD",A219="No"),FALSE,TRUE)</f>
        <v>0</v>
      </c>
      <c r="C219" s="72" t="b">
        <f t="shared" si="22"/>
        <v>0</v>
      </c>
      <c r="D219" s="63"/>
      <c r="E219" s="64"/>
      <c r="F219" s="64"/>
      <c r="G219" s="64"/>
      <c r="H219" s="64">
        <f t="shared" si="23"/>
        <v>0</v>
      </c>
      <c r="I219" s="64"/>
      <c r="J219" s="132" t="s">
        <v>170</v>
      </c>
      <c r="K219" s="70">
        <f t="shared" si="21"/>
        <v>0</v>
      </c>
      <c r="L219" s="14"/>
      <c r="M219" s="16"/>
      <c r="N219" s="16"/>
      <c r="O219" s="16">
        <v>1</v>
      </c>
      <c r="P219" s="16"/>
      <c r="Q219" s="158"/>
      <c r="X219" s="216"/>
    </row>
    <row r="220" spans="1:24" s="67" customFormat="1" ht="12.75">
      <c r="A220" s="276" t="s">
        <v>172</v>
      </c>
      <c r="B220" s="253" t="b">
        <f>IF(OR(A220="TBD",A220="No"),FALSE,TRUE)</f>
        <v>0</v>
      </c>
      <c r="C220" s="72" t="b">
        <f t="shared" si="22"/>
        <v>0</v>
      </c>
      <c r="D220" s="72"/>
      <c r="E220" s="73"/>
      <c r="F220" s="73"/>
      <c r="G220" s="73"/>
      <c r="H220" s="64">
        <f t="shared" si="23"/>
        <v>0</v>
      </c>
      <c r="I220" s="73"/>
      <c r="J220" s="133" t="s">
        <v>171</v>
      </c>
      <c r="K220" s="70">
        <f t="shared" si="21"/>
        <v>0</v>
      </c>
      <c r="L220" s="14"/>
      <c r="M220" s="16"/>
      <c r="N220" s="16"/>
      <c r="O220" s="16">
        <v>1</v>
      </c>
      <c r="P220" s="16"/>
      <c r="Q220" s="158"/>
      <c r="X220" s="208"/>
    </row>
    <row r="221" spans="1:24" s="67" customFormat="1" ht="48">
      <c r="A221" s="275" t="s">
        <v>172</v>
      </c>
      <c r="B221" s="108" t="b">
        <f>IF(A221="Yes",TRUE,FALSE)</f>
        <v>0</v>
      </c>
      <c r="C221" s="63" t="b">
        <f t="shared" si="22"/>
        <v>0</v>
      </c>
      <c r="D221" s="63"/>
      <c r="E221" s="64"/>
      <c r="F221" s="64"/>
      <c r="G221" s="64"/>
      <c r="H221" s="64">
        <f t="shared" si="23"/>
        <v>0</v>
      </c>
      <c r="I221" s="64"/>
      <c r="J221" s="368" t="s">
        <v>306</v>
      </c>
      <c r="K221" s="365" t="str">
        <f>IF(A221="Yes","Y","N")</f>
        <v>N</v>
      </c>
      <c r="L221" s="14"/>
      <c r="M221" s="15"/>
      <c r="N221" s="370" t="s">
        <v>60</v>
      </c>
      <c r="O221" s="16"/>
      <c r="P221" s="16"/>
      <c r="Q221" s="158"/>
      <c r="X221" s="208"/>
    </row>
    <row r="222" spans="1:24" s="67" customFormat="1" ht="24">
      <c r="A222" s="345"/>
      <c r="B222" s="68"/>
      <c r="C222" s="68"/>
      <c r="D222" s="68"/>
      <c r="E222" s="69"/>
      <c r="F222" s="69"/>
      <c r="G222" s="69"/>
      <c r="H222" s="69"/>
      <c r="I222" s="69"/>
      <c r="J222" s="247" t="s">
        <v>307</v>
      </c>
      <c r="K222" s="70"/>
      <c r="L222" s="29"/>
      <c r="M222" s="25"/>
      <c r="N222" s="25"/>
      <c r="O222" s="267"/>
      <c r="P222" s="14"/>
      <c r="Q222" s="158"/>
      <c r="X222" s="208"/>
    </row>
    <row r="223" spans="1:24" s="67" customFormat="1" ht="12.75">
      <c r="A223" s="276" t="s">
        <v>172</v>
      </c>
      <c r="B223" s="253" t="b">
        <f>IF(OR(A223="TBD",A223="No"),FALSE,TRUE)</f>
        <v>0</v>
      </c>
      <c r="C223" s="72" t="b">
        <f>B223</f>
        <v>0</v>
      </c>
      <c r="D223" s="63"/>
      <c r="E223" s="64"/>
      <c r="F223" s="64"/>
      <c r="G223" s="64">
        <f>IF(C223,IF(A223="≥90%",1,1*A223),0)</f>
        <v>0</v>
      </c>
      <c r="I223" s="64"/>
      <c r="J223" s="240" t="s">
        <v>278</v>
      </c>
      <c r="K223" s="70">
        <f t="shared" si="21"/>
        <v>0</v>
      </c>
      <c r="L223" s="14"/>
      <c r="M223" s="16"/>
      <c r="N223" s="29">
        <v>1</v>
      </c>
      <c r="O223" s="16"/>
      <c r="P223" s="14"/>
      <c r="Q223" s="158"/>
      <c r="X223" s="208"/>
    </row>
    <row r="224" spans="1:24" s="67" customFormat="1" ht="15" customHeight="1">
      <c r="A224" s="276" t="s">
        <v>172</v>
      </c>
      <c r="B224" s="253" t="b">
        <f>IF(OR(A224="TBD",A224="No"),FALSE,TRUE)</f>
        <v>0</v>
      </c>
      <c r="C224" s="72" t="b">
        <f>B224</f>
        <v>0</v>
      </c>
      <c r="D224" s="63"/>
      <c r="E224" s="64"/>
      <c r="F224" s="64"/>
      <c r="G224" s="64">
        <f>IF(C224,IF(A224="≥90%",2,2*A224),0)</f>
        <v>0</v>
      </c>
      <c r="I224" s="64"/>
      <c r="J224" s="240" t="s">
        <v>280</v>
      </c>
      <c r="K224" s="70">
        <f t="shared" si="21"/>
        <v>0</v>
      </c>
      <c r="L224" s="14"/>
      <c r="M224" s="16"/>
      <c r="N224" s="29">
        <v>2</v>
      </c>
      <c r="O224" s="16"/>
      <c r="P224" s="14"/>
      <c r="Q224" s="158"/>
      <c r="X224" s="208"/>
    </row>
    <row r="225" spans="1:24" s="67" customFormat="1" ht="12.75">
      <c r="A225" s="276" t="s">
        <v>172</v>
      </c>
      <c r="B225" s="253" t="b">
        <f>IF(OR(A225="TBD",A225="No"),FALSE,TRUE)</f>
        <v>0</v>
      </c>
      <c r="C225" s="72" t="b">
        <f>B225</f>
        <v>0</v>
      </c>
      <c r="D225" s="72"/>
      <c r="E225" s="73"/>
      <c r="F225" s="73"/>
      <c r="G225" s="64">
        <f>IF(C225,IF(A225="≥90%",1,1*A225),0)</f>
        <v>0</v>
      </c>
      <c r="I225" s="73"/>
      <c r="J225" s="241" t="s">
        <v>279</v>
      </c>
      <c r="K225" s="70">
        <f t="shared" si="21"/>
        <v>0</v>
      </c>
      <c r="L225" s="14"/>
      <c r="M225" s="16"/>
      <c r="N225" s="29">
        <v>1</v>
      </c>
      <c r="O225" s="16"/>
      <c r="P225" s="14"/>
      <c r="Q225" s="158"/>
      <c r="X225" s="208"/>
    </row>
    <row r="226" spans="1:24" s="67" customFormat="1" ht="13.5" customHeight="1">
      <c r="A226" s="275" t="s">
        <v>172</v>
      </c>
      <c r="B226" s="108" t="b">
        <f>IF(A226="Yes",TRUE,FALSE)</f>
        <v>0</v>
      </c>
      <c r="C226" s="108" t="b">
        <f>B226</f>
        <v>0</v>
      </c>
      <c r="D226" s="108"/>
      <c r="E226" s="22"/>
      <c r="F226" s="22"/>
      <c r="G226" s="22">
        <f>IF(C226,3,0)</f>
        <v>0</v>
      </c>
      <c r="H226" s="22"/>
      <c r="I226" s="22"/>
      <c r="J226" s="232" t="s">
        <v>308</v>
      </c>
      <c r="K226" s="70">
        <f t="shared" si="21"/>
        <v>0</v>
      </c>
      <c r="L226" s="14"/>
      <c r="M226" s="16"/>
      <c r="N226" s="29">
        <v>3</v>
      </c>
      <c r="O226" s="16"/>
      <c r="P226" s="14"/>
      <c r="Q226" s="158"/>
      <c r="X226" s="208"/>
    </row>
    <row r="227" spans="1:24" s="67" customFormat="1" ht="12.75">
      <c r="A227" s="344"/>
      <c r="B227" s="68"/>
      <c r="C227" s="68"/>
      <c r="D227" s="68"/>
      <c r="E227" s="69"/>
      <c r="F227" s="69"/>
      <c r="G227" s="69"/>
      <c r="H227" s="69"/>
      <c r="I227" s="69"/>
      <c r="J227" s="148" t="s">
        <v>291</v>
      </c>
      <c r="K227" s="102">
        <f>SUM(K208:K226)</f>
        <v>0</v>
      </c>
      <c r="L227" s="28"/>
      <c r="M227" s="21"/>
      <c r="N227" s="21"/>
      <c r="O227" s="289"/>
      <c r="P227" s="116"/>
      <c r="Q227" s="17"/>
      <c r="X227" s="208"/>
    </row>
    <row r="228" spans="1:24" s="67" customFormat="1" ht="12.75" customHeight="1">
      <c r="A228" s="339" t="s">
        <v>36</v>
      </c>
      <c r="B228" s="103"/>
      <c r="C228" s="103"/>
      <c r="D228" s="103"/>
      <c r="E228" s="104"/>
      <c r="F228" s="104"/>
      <c r="G228" s="104"/>
      <c r="H228" s="104"/>
      <c r="I228" s="104"/>
      <c r="J228" s="60"/>
      <c r="K228" s="70"/>
      <c r="L228" s="392" t="s">
        <v>23</v>
      </c>
      <c r="M228" s="392"/>
      <c r="N228" s="392"/>
      <c r="O228" s="392"/>
      <c r="P228" s="389"/>
      <c r="Q228" s="307"/>
      <c r="X228" s="208"/>
    </row>
    <row r="229" spans="1:24" s="67" customFormat="1" ht="60" customHeight="1">
      <c r="A229" s="276" t="s">
        <v>172</v>
      </c>
      <c r="B229" s="253" t="b">
        <f>IF(OR(A229="TBD",A229="No"),FALSE,TRUE)</f>
        <v>0</v>
      </c>
      <c r="C229" s="72" t="b">
        <f aca="true" t="shared" si="24" ref="C229:C234">B229</f>
        <v>0</v>
      </c>
      <c r="D229" s="68"/>
      <c r="E229" s="69"/>
      <c r="F229" s="69"/>
      <c r="G229" s="69"/>
      <c r="H229" s="64">
        <f>IF(C229,IF(A229="≥90%",4,4*A229),0)</f>
        <v>0</v>
      </c>
      <c r="I229" s="69"/>
      <c r="J229" s="247" t="s">
        <v>240</v>
      </c>
      <c r="K229" s="70">
        <f>SUM(D229:I229)</f>
        <v>0</v>
      </c>
      <c r="L229" s="16"/>
      <c r="M229" s="16"/>
      <c r="N229" s="16"/>
      <c r="O229" s="16">
        <v>4</v>
      </c>
      <c r="P229" s="16"/>
      <c r="Q229" s="158"/>
      <c r="X229" s="216"/>
    </row>
    <row r="230" spans="1:24" s="67" customFormat="1" ht="12.75">
      <c r="A230" s="276" t="s">
        <v>172</v>
      </c>
      <c r="B230" s="253" t="b">
        <f>IF(OR(A230="TBD",A230="No"),FALSE,TRUE)</f>
        <v>0</v>
      </c>
      <c r="C230" s="72" t="b">
        <f t="shared" si="24"/>
        <v>0</v>
      </c>
      <c r="D230" s="108"/>
      <c r="E230" s="22"/>
      <c r="F230" s="64">
        <f>IF(C230,IF(A230="≥90%",1,1*A230),0)</f>
        <v>0</v>
      </c>
      <c r="G230" s="22"/>
      <c r="H230" s="22"/>
      <c r="I230" s="22"/>
      <c r="J230" s="232" t="s">
        <v>80</v>
      </c>
      <c r="K230" s="70">
        <f>SUM(D230:I230)</f>
        <v>0</v>
      </c>
      <c r="L230" s="14"/>
      <c r="M230" s="16">
        <v>1</v>
      </c>
      <c r="N230" s="16"/>
      <c r="O230" s="16"/>
      <c r="P230" s="16"/>
      <c r="Q230" s="158"/>
      <c r="X230" s="216"/>
    </row>
    <row r="231" spans="1:24" s="67" customFormat="1" ht="24" customHeight="1">
      <c r="A231" s="276" t="s">
        <v>172</v>
      </c>
      <c r="B231" s="253" t="b">
        <f>IF(OR(A231="TBD",A231="No"),FALSE,TRUE)</f>
        <v>0</v>
      </c>
      <c r="C231" s="72" t="b">
        <f t="shared" si="24"/>
        <v>0</v>
      </c>
      <c r="D231" s="108"/>
      <c r="E231" s="22"/>
      <c r="F231" s="22"/>
      <c r="G231" s="64">
        <f>IF(C231,IF(A231="≥90%",2,2*A231),0)</f>
        <v>0</v>
      </c>
      <c r="H231" s="22"/>
      <c r="I231" s="22"/>
      <c r="J231" s="237" t="s">
        <v>176</v>
      </c>
      <c r="K231" s="70">
        <f>SUM(D231:I231)</f>
        <v>0</v>
      </c>
      <c r="L231" s="14"/>
      <c r="M231" s="16"/>
      <c r="N231" s="16">
        <v>2</v>
      </c>
      <c r="O231" s="16"/>
      <c r="P231" s="16"/>
      <c r="Q231" s="158"/>
      <c r="X231" s="208"/>
    </row>
    <row r="232" spans="1:24" s="67" customFormat="1" ht="12.75">
      <c r="A232" s="347"/>
      <c r="B232" s="108"/>
      <c r="C232" s="108">
        <f t="shared" si="24"/>
        <v>0</v>
      </c>
      <c r="D232" s="108"/>
      <c r="E232" s="22"/>
      <c r="F232" s="22"/>
      <c r="G232" s="22"/>
      <c r="H232" s="22"/>
      <c r="I232" s="22"/>
      <c r="J232" s="115" t="s">
        <v>102</v>
      </c>
      <c r="K232" s="102">
        <f>SUM(K229:K231)</f>
        <v>0</v>
      </c>
      <c r="L232" s="136"/>
      <c r="M232" s="136"/>
      <c r="N232" s="136"/>
      <c r="O232" s="136"/>
      <c r="P232" s="137"/>
      <c r="Q232" s="127"/>
      <c r="X232" s="208"/>
    </row>
    <row r="233" spans="1:24" s="67" customFormat="1" ht="12.75" customHeight="1">
      <c r="A233" s="351" t="s">
        <v>59</v>
      </c>
      <c r="B233" s="142"/>
      <c r="C233" s="142">
        <f t="shared" si="24"/>
        <v>0</v>
      </c>
      <c r="D233" s="142"/>
      <c r="E233" s="143"/>
      <c r="F233" s="143"/>
      <c r="G233" s="143"/>
      <c r="H233" s="143"/>
      <c r="I233" s="143"/>
      <c r="J233" s="146"/>
      <c r="K233" s="70"/>
      <c r="L233" s="391" t="s">
        <v>23</v>
      </c>
      <c r="M233" s="384"/>
      <c r="N233" s="384"/>
      <c r="O233" s="384"/>
      <c r="P233" s="385"/>
      <c r="Q233" s="307"/>
      <c r="X233" s="208"/>
    </row>
    <row r="234" spans="1:26" s="67" customFormat="1" ht="31.5" customHeight="1">
      <c r="A234" s="275" t="s">
        <v>172</v>
      </c>
      <c r="B234" s="108" t="b">
        <f>IF(AND(A234="Yes",$B$203=FALSE),TRUE,FALSE)</f>
        <v>0</v>
      </c>
      <c r="C234" s="63" t="b">
        <f t="shared" si="24"/>
        <v>0</v>
      </c>
      <c r="D234" s="63"/>
      <c r="E234" s="64"/>
      <c r="F234" s="64">
        <f>IF(C234,1,0)</f>
        <v>0</v>
      </c>
      <c r="G234" s="64"/>
      <c r="H234" s="64"/>
      <c r="I234" s="64">
        <f>IF(C234,1,0)</f>
        <v>0</v>
      </c>
      <c r="J234" s="247" t="s">
        <v>270</v>
      </c>
      <c r="K234" s="70">
        <f>SUM(D234:I234)</f>
        <v>0</v>
      </c>
      <c r="L234" s="14"/>
      <c r="M234" s="16">
        <v>1</v>
      </c>
      <c r="N234" s="16"/>
      <c r="O234" s="16"/>
      <c r="P234" s="16">
        <v>1</v>
      </c>
      <c r="Q234" s="158"/>
      <c r="X234" s="208"/>
      <c r="Z234" s="323"/>
    </row>
    <row r="235" spans="1:24" s="67" customFormat="1" ht="13.5" customHeight="1">
      <c r="A235" s="343"/>
      <c r="B235" s="68"/>
      <c r="C235" s="68"/>
      <c r="D235" s="68"/>
      <c r="E235" s="69"/>
      <c r="F235" s="69"/>
      <c r="G235" s="69"/>
      <c r="H235" s="69"/>
      <c r="I235" s="69"/>
      <c r="J235" s="234" t="s">
        <v>314</v>
      </c>
      <c r="K235" s="70"/>
      <c r="L235" s="29"/>
      <c r="M235" s="25"/>
      <c r="N235" s="25"/>
      <c r="O235" s="25"/>
      <c r="P235" s="14"/>
      <c r="Q235" s="158"/>
      <c r="X235" s="208"/>
    </row>
    <row r="236" spans="1:24" s="67" customFormat="1" ht="15.75" customHeight="1">
      <c r="A236" s="275" t="s">
        <v>172</v>
      </c>
      <c r="B236" s="63" t="b">
        <f aca="true" t="shared" si="25" ref="B236:B245">IF(A236="Yes",TRUE,FALSE)</f>
        <v>0</v>
      </c>
      <c r="C236" s="63" t="b">
        <f>B236</f>
        <v>0</v>
      </c>
      <c r="D236" s="63"/>
      <c r="E236" s="64"/>
      <c r="F236" s="64">
        <f>IF(OR(C237,C236),1,0)</f>
        <v>0</v>
      </c>
      <c r="G236" s="64"/>
      <c r="H236" s="64"/>
      <c r="I236" s="64">
        <f>IF(OR(C237,C236),2,0)</f>
        <v>0</v>
      </c>
      <c r="J236" s="132" t="s">
        <v>312</v>
      </c>
      <c r="K236" s="70">
        <f aca="true" t="shared" si="26" ref="K236:K245">SUM(D236:I236)</f>
        <v>0</v>
      </c>
      <c r="L236" s="14"/>
      <c r="M236" s="16">
        <v>1</v>
      </c>
      <c r="N236" s="16"/>
      <c r="O236" s="16"/>
      <c r="P236" s="16">
        <v>2</v>
      </c>
      <c r="Q236" s="158"/>
      <c r="X236" s="216"/>
    </row>
    <row r="237" spans="1:24" s="67" customFormat="1" ht="13.5" customHeight="1">
      <c r="A237" s="275" t="s">
        <v>172</v>
      </c>
      <c r="B237" s="72" t="b">
        <f t="shared" si="25"/>
        <v>0</v>
      </c>
      <c r="C237" s="72" t="b">
        <f>B237</f>
        <v>0</v>
      </c>
      <c r="D237" s="72"/>
      <c r="E237" s="73"/>
      <c r="F237" s="73"/>
      <c r="G237" s="73"/>
      <c r="H237" s="73"/>
      <c r="I237" s="73">
        <f>IF(C237,2,0)</f>
        <v>0</v>
      </c>
      <c r="J237" s="133" t="s">
        <v>313</v>
      </c>
      <c r="K237" s="70">
        <f t="shared" si="26"/>
        <v>0</v>
      </c>
      <c r="L237" s="14"/>
      <c r="M237" s="16"/>
      <c r="N237" s="16"/>
      <c r="O237" s="16"/>
      <c r="P237" s="16">
        <v>2</v>
      </c>
      <c r="Q237" s="158"/>
      <c r="X237" s="208"/>
    </row>
    <row r="238" spans="1:24" s="67" customFormat="1" ht="12.75">
      <c r="A238" s="343"/>
      <c r="B238" s="68"/>
      <c r="C238" s="68"/>
      <c r="D238" s="68"/>
      <c r="E238" s="69"/>
      <c r="F238" s="69"/>
      <c r="G238" s="69"/>
      <c r="H238" s="69"/>
      <c r="I238" s="69"/>
      <c r="J238" s="234" t="s">
        <v>156</v>
      </c>
      <c r="K238" s="70"/>
      <c r="L238" s="29"/>
      <c r="M238" s="25"/>
      <c r="N238" s="25"/>
      <c r="O238" s="25"/>
      <c r="P238" s="14"/>
      <c r="Q238" s="158"/>
      <c r="X238" s="208"/>
    </row>
    <row r="239" spans="1:24" s="67" customFormat="1" ht="12.75" customHeight="1">
      <c r="A239" s="275" t="s">
        <v>172</v>
      </c>
      <c r="B239" s="108" t="b">
        <f>IF(AND(A239="Yes",$B$203=FALSE),TRUE,FALSE)</f>
        <v>0</v>
      </c>
      <c r="C239" s="63" t="b">
        <f>B239</f>
        <v>0</v>
      </c>
      <c r="D239" s="63"/>
      <c r="E239" s="64"/>
      <c r="F239" s="64">
        <f>IF(OR(C240,C239),1,0)</f>
        <v>0</v>
      </c>
      <c r="G239" s="64"/>
      <c r="H239" s="64"/>
      <c r="I239" s="64"/>
      <c r="J239" s="235" t="s">
        <v>319</v>
      </c>
      <c r="K239" s="70">
        <f>SUM(D239:I239)</f>
        <v>0</v>
      </c>
      <c r="L239" s="14"/>
      <c r="M239" s="16">
        <v>1</v>
      </c>
      <c r="N239" s="16"/>
      <c r="O239" s="16"/>
      <c r="P239" s="16"/>
      <c r="Q239" s="158"/>
      <c r="X239" s="208"/>
    </row>
    <row r="240" spans="1:24" s="67" customFormat="1" ht="13.5" customHeight="1">
      <c r="A240" s="275" t="s">
        <v>172</v>
      </c>
      <c r="B240" s="108" t="b">
        <f>IF(AND(A240="Yes",$B$203=FALSE),TRUE,FALSE)</f>
        <v>0</v>
      </c>
      <c r="C240" s="72" t="b">
        <f>B240</f>
        <v>0</v>
      </c>
      <c r="D240" s="72"/>
      <c r="E240" s="73"/>
      <c r="F240" s="73">
        <f>IF(C240,1,0)</f>
        <v>0</v>
      </c>
      <c r="G240" s="73"/>
      <c r="H240" s="73"/>
      <c r="I240" s="73"/>
      <c r="J240" s="248" t="s">
        <v>0</v>
      </c>
      <c r="K240" s="70">
        <f>SUM(D240:I240)</f>
        <v>0</v>
      </c>
      <c r="L240" s="14"/>
      <c r="M240" s="16">
        <v>1</v>
      </c>
      <c r="N240" s="16"/>
      <c r="O240" s="16"/>
      <c r="P240" s="16"/>
      <c r="Q240" s="158"/>
      <c r="X240" s="208"/>
    </row>
    <row r="241" spans="1:24" s="67" customFormat="1" ht="13.5" customHeight="1">
      <c r="A241" s="343"/>
      <c r="B241" s="68"/>
      <c r="C241" s="68"/>
      <c r="D241" s="68"/>
      <c r="E241" s="69"/>
      <c r="F241" s="69"/>
      <c r="G241" s="69"/>
      <c r="H241" s="69"/>
      <c r="I241" s="69"/>
      <c r="J241" s="229" t="s">
        <v>157</v>
      </c>
      <c r="K241" s="70"/>
      <c r="L241" s="29"/>
      <c r="M241" s="25"/>
      <c r="N241" s="25"/>
      <c r="O241" s="25"/>
      <c r="P241" s="14"/>
      <c r="Q241" s="158"/>
      <c r="X241" s="208"/>
    </row>
    <row r="242" spans="1:24" s="67" customFormat="1" ht="12.75">
      <c r="A242" s="275" t="s">
        <v>172</v>
      </c>
      <c r="B242" s="63" t="b">
        <f t="shared" si="25"/>
        <v>0</v>
      </c>
      <c r="C242" s="63" t="b">
        <f>B242</f>
        <v>0</v>
      </c>
      <c r="D242" s="63"/>
      <c r="E242" s="64"/>
      <c r="F242" s="64"/>
      <c r="G242" s="64"/>
      <c r="H242" s="64">
        <f>IF(C242,2,0)</f>
        <v>0</v>
      </c>
      <c r="I242" s="64"/>
      <c r="J242" s="224" t="s">
        <v>42</v>
      </c>
      <c r="K242" s="70">
        <f t="shared" si="26"/>
        <v>0</v>
      </c>
      <c r="L242" s="14"/>
      <c r="M242" s="16"/>
      <c r="N242" s="16"/>
      <c r="O242" s="16">
        <v>2</v>
      </c>
      <c r="P242" s="16"/>
      <c r="Q242" s="158"/>
      <c r="X242" s="208"/>
    </row>
    <row r="243" spans="1:24" s="67" customFormat="1" ht="12.75">
      <c r="A243" s="275" t="s">
        <v>172</v>
      </c>
      <c r="B243" s="72" t="b">
        <f t="shared" si="25"/>
        <v>0</v>
      </c>
      <c r="C243" s="72" t="b">
        <f>B243</f>
        <v>0</v>
      </c>
      <c r="D243" s="72"/>
      <c r="E243" s="73"/>
      <c r="F243" s="73"/>
      <c r="G243" s="73"/>
      <c r="H243" s="73">
        <f>IF(C243,1,0)</f>
        <v>0</v>
      </c>
      <c r="I243" s="73"/>
      <c r="J243" s="233" t="s">
        <v>43</v>
      </c>
      <c r="K243" s="70">
        <f t="shared" si="26"/>
        <v>0</v>
      </c>
      <c r="L243" s="14"/>
      <c r="M243" s="16"/>
      <c r="N243" s="16"/>
      <c r="O243" s="16">
        <v>1</v>
      </c>
      <c r="P243" s="16"/>
      <c r="Q243" s="158"/>
      <c r="X243" s="208"/>
    </row>
    <row r="244" spans="1:24" s="67" customFormat="1" ht="12.75">
      <c r="A244" s="275" t="s">
        <v>172</v>
      </c>
      <c r="B244" s="108" t="b">
        <f t="shared" si="25"/>
        <v>0</v>
      </c>
      <c r="C244" s="108" t="b">
        <v>1</v>
      </c>
      <c r="D244" s="108"/>
      <c r="E244" s="22"/>
      <c r="F244" s="22"/>
      <c r="G244" s="22"/>
      <c r="H244" s="22"/>
      <c r="I244" s="22"/>
      <c r="J244" s="231" t="s">
        <v>259</v>
      </c>
      <c r="K244" s="365" t="str">
        <f>IF(A244="Yes","Y",IF(A244="N/A","N/A","N"))</f>
        <v>N</v>
      </c>
      <c r="L244" s="14"/>
      <c r="N244" s="16"/>
      <c r="O244" s="15" t="s">
        <v>60</v>
      </c>
      <c r="P244" s="16"/>
      <c r="Q244" s="158"/>
      <c r="X244" s="216"/>
    </row>
    <row r="245" spans="1:24" s="67" customFormat="1" ht="16.5" customHeight="1">
      <c r="A245" s="275" t="s">
        <v>172</v>
      </c>
      <c r="B245" s="108" t="b">
        <f t="shared" si="25"/>
        <v>0</v>
      </c>
      <c r="C245" s="108" t="b">
        <f>B245</f>
        <v>0</v>
      </c>
      <c r="D245" s="108"/>
      <c r="E245" s="22"/>
      <c r="G245" s="22"/>
      <c r="H245" s="22">
        <f>IF(C245,2,0)</f>
        <v>0</v>
      </c>
      <c r="I245" s="22"/>
      <c r="J245" s="232" t="s">
        <v>241</v>
      </c>
      <c r="K245" s="70">
        <f t="shared" si="26"/>
        <v>0</v>
      </c>
      <c r="L245" s="25"/>
      <c r="M245" s="16"/>
      <c r="N245" s="14"/>
      <c r="O245" s="16">
        <v>2</v>
      </c>
      <c r="P245" s="16"/>
      <c r="Q245" s="158"/>
      <c r="X245" s="208"/>
    </row>
    <row r="246" spans="1:24" s="67" customFormat="1" ht="15.75" customHeight="1">
      <c r="A246" s="276" t="s">
        <v>172</v>
      </c>
      <c r="B246" s="253" t="b">
        <f>IF(OR(A246="TBD",A246="No"),FALSE,TRUE)</f>
        <v>0</v>
      </c>
      <c r="C246" s="72" t="b">
        <f>B246</f>
        <v>0</v>
      </c>
      <c r="D246" s="108"/>
      <c r="E246" s="22"/>
      <c r="F246" s="64">
        <f>IF(C246,IF(A246="≥90%",1,1*A246),0)</f>
        <v>0</v>
      </c>
      <c r="G246" s="22"/>
      <c r="H246" s="22"/>
      <c r="I246" s="22"/>
      <c r="J246" s="231" t="s">
        <v>158</v>
      </c>
      <c r="K246" s="70">
        <f>F246</f>
        <v>0</v>
      </c>
      <c r="L246" s="281"/>
      <c r="M246" s="26">
        <v>1</v>
      </c>
      <c r="N246" s="281"/>
      <c r="O246" s="281"/>
      <c r="P246" s="281"/>
      <c r="Q246" s="303"/>
      <c r="X246" s="216"/>
    </row>
    <row r="247" spans="1:24" s="67" customFormat="1" ht="17.25" customHeight="1">
      <c r="A247" s="275" t="s">
        <v>172</v>
      </c>
      <c r="B247" s="63" t="b">
        <f>IF(A247="Yes",TRUE,FALSE)</f>
        <v>0</v>
      </c>
      <c r="C247" s="63" t="b">
        <f>B247</f>
        <v>0</v>
      </c>
      <c r="D247" s="63"/>
      <c r="E247" s="64"/>
      <c r="F247" s="64"/>
      <c r="G247" s="64"/>
      <c r="H247" s="64">
        <f>IF(C247,1,0)</f>
        <v>0</v>
      </c>
      <c r="I247" s="64"/>
      <c r="J247" s="322" t="s">
        <v>272</v>
      </c>
      <c r="K247" s="70">
        <f>H247</f>
        <v>0</v>
      </c>
      <c r="L247" s="14"/>
      <c r="M247" s="16"/>
      <c r="N247" s="16"/>
      <c r="O247" s="16">
        <v>1</v>
      </c>
      <c r="P247" s="16"/>
      <c r="Q247" s="158"/>
      <c r="X247" s="210"/>
    </row>
    <row r="248" spans="1:24" s="67" customFormat="1" ht="12.75">
      <c r="A248" s="276" t="s">
        <v>172</v>
      </c>
      <c r="B248" s="253" t="b">
        <f>IF(OR(A248="TBD",A248="No"),FALSE,TRUE)</f>
        <v>0</v>
      </c>
      <c r="C248" s="72" t="b">
        <f>B248</f>
        <v>0</v>
      </c>
      <c r="D248" s="63"/>
      <c r="E248" s="64"/>
      <c r="F248" s="64">
        <f>IF(C248,IF(A248="≥90%",1,1*A248),0)</f>
        <v>0</v>
      </c>
      <c r="G248" s="69"/>
      <c r="H248" s="69"/>
      <c r="I248" s="69"/>
      <c r="J248" s="247" t="s">
        <v>271</v>
      </c>
      <c r="K248" s="70">
        <f>F248</f>
        <v>0</v>
      </c>
      <c r="L248" s="16"/>
      <c r="M248" s="16">
        <v>1</v>
      </c>
      <c r="N248" s="16"/>
      <c r="O248" s="16"/>
      <c r="P248" s="16"/>
      <c r="Q248" s="158"/>
      <c r="X248" s="216"/>
    </row>
    <row r="249" spans="1:17" ht="12.75">
      <c r="A249" s="93"/>
      <c r="B249" s="151"/>
      <c r="C249" s="108"/>
      <c r="D249" s="151"/>
      <c r="E249" s="152"/>
      <c r="F249" s="152"/>
      <c r="G249" s="152"/>
      <c r="H249" s="152"/>
      <c r="I249" s="152"/>
      <c r="J249" s="115" t="s">
        <v>300</v>
      </c>
      <c r="K249" s="102">
        <f>SUM(K234:K248)</f>
        <v>0</v>
      </c>
      <c r="L249" s="153"/>
      <c r="M249" s="153"/>
      <c r="N249" s="154"/>
      <c r="O249" s="154"/>
      <c r="P249" s="155"/>
      <c r="Q249" s="127"/>
    </row>
    <row r="250" spans="1:24" s="67" customFormat="1" ht="12.75" customHeight="1">
      <c r="A250" s="351" t="s">
        <v>13</v>
      </c>
      <c r="B250" s="142"/>
      <c r="C250" s="142"/>
      <c r="D250" s="142"/>
      <c r="E250" s="143"/>
      <c r="F250" s="143"/>
      <c r="G250" s="143"/>
      <c r="H250" s="143"/>
      <c r="I250" s="143"/>
      <c r="J250" s="146"/>
      <c r="K250" s="70"/>
      <c r="L250" s="384" t="s">
        <v>23</v>
      </c>
      <c r="M250" s="384"/>
      <c r="N250" s="384"/>
      <c r="O250" s="384"/>
      <c r="P250" s="385"/>
      <c r="Q250" s="307"/>
      <c r="X250" s="208"/>
    </row>
    <row r="251" spans="1:24" s="67" customFormat="1" ht="26.25" customHeight="1">
      <c r="A251" s="275" t="s">
        <v>172</v>
      </c>
      <c r="B251" s="108" t="b">
        <f>IF(A251="Yes",TRUE,FALSE)</f>
        <v>0</v>
      </c>
      <c r="C251" s="108" t="b">
        <f>B251</f>
        <v>0</v>
      </c>
      <c r="D251" s="108"/>
      <c r="E251" s="22"/>
      <c r="F251" s="22"/>
      <c r="G251" s="22"/>
      <c r="H251" s="22"/>
      <c r="I251" s="22"/>
      <c r="J251" s="249" t="s">
        <v>242</v>
      </c>
      <c r="K251" s="365" t="str">
        <f>IF(A251="Yes","Y",IF(A251="N/A","N/A","N"))</f>
        <v>N</v>
      </c>
      <c r="L251" s="156"/>
      <c r="M251" s="15" t="s">
        <v>60</v>
      </c>
      <c r="N251" s="157"/>
      <c r="O251" s="157"/>
      <c r="P251" s="157"/>
      <c r="Q251" s="304"/>
      <c r="X251" s="216"/>
    </row>
    <row r="252" spans="1:24" ht="12.75">
      <c r="A252" s="275" t="s">
        <v>172</v>
      </c>
      <c r="B252" s="108" t="b">
        <f>IF(A252="Yes",TRUE,FALSE)</f>
        <v>0</v>
      </c>
      <c r="C252" s="108" t="b">
        <f>B252</f>
        <v>0</v>
      </c>
      <c r="D252" s="151"/>
      <c r="E252" s="152"/>
      <c r="F252" s="152">
        <f>IF(C252,1,0)</f>
        <v>0</v>
      </c>
      <c r="G252" s="152"/>
      <c r="H252" s="152"/>
      <c r="I252" s="152">
        <f>IF(C252,1,0)</f>
        <v>0</v>
      </c>
      <c r="J252" s="232" t="s">
        <v>30</v>
      </c>
      <c r="K252" s="70">
        <f>SUM(D252:I252)</f>
        <v>0</v>
      </c>
      <c r="L252" s="14"/>
      <c r="M252" s="16">
        <v>1</v>
      </c>
      <c r="N252" s="32"/>
      <c r="O252" s="16"/>
      <c r="P252" s="16">
        <v>1</v>
      </c>
      <c r="Q252" s="158"/>
      <c r="X252" s="215"/>
    </row>
    <row r="253" spans="1:24" ht="12.75">
      <c r="A253" s="352"/>
      <c r="B253" s="108"/>
      <c r="C253" s="108"/>
      <c r="D253" s="151"/>
      <c r="E253" s="152"/>
      <c r="F253" s="152"/>
      <c r="G253" s="152"/>
      <c r="H253" s="152"/>
      <c r="I253" s="152"/>
      <c r="J253" s="232" t="s">
        <v>120</v>
      </c>
      <c r="K253" s="70"/>
      <c r="L253" s="14"/>
      <c r="M253" s="16"/>
      <c r="N253" s="16"/>
      <c r="O253" s="16"/>
      <c r="P253" s="16"/>
      <c r="Q253" s="158"/>
      <c r="X253" s="173"/>
    </row>
    <row r="254" spans="1:17" ht="12.75">
      <c r="A254" s="275" t="s">
        <v>172</v>
      </c>
      <c r="B254" s="108" t="b">
        <f>IF(A254="Yes",TRUE,FALSE)</f>
        <v>0</v>
      </c>
      <c r="C254" s="108" t="b">
        <f>B254</f>
        <v>0</v>
      </c>
      <c r="D254" s="151"/>
      <c r="E254" s="152"/>
      <c r="F254" s="152"/>
      <c r="G254" s="152">
        <f>IF(C254,1,0)</f>
        <v>0</v>
      </c>
      <c r="H254" s="152"/>
      <c r="I254" s="152"/>
      <c r="J254" s="132" t="s">
        <v>121</v>
      </c>
      <c r="K254" s="70">
        <f>SUM(D254:I254)</f>
        <v>0</v>
      </c>
      <c r="L254" s="14"/>
      <c r="M254" s="16"/>
      <c r="N254" s="16">
        <v>1</v>
      </c>
      <c r="O254" s="16"/>
      <c r="P254" s="16"/>
      <c r="Q254" s="158"/>
    </row>
    <row r="255" spans="1:17" ht="12.75">
      <c r="A255" s="275" t="s">
        <v>172</v>
      </c>
      <c r="B255" s="108" t="b">
        <f>IF(A255="Yes",TRUE,FALSE)</f>
        <v>0</v>
      </c>
      <c r="C255" s="108" t="b">
        <f>B255</f>
        <v>0</v>
      </c>
      <c r="D255" s="151"/>
      <c r="E255" s="152"/>
      <c r="F255" s="152"/>
      <c r="G255" s="152">
        <f>IF(C255,1,0)</f>
        <v>0</v>
      </c>
      <c r="H255" s="152"/>
      <c r="I255" s="152"/>
      <c r="J255" s="244" t="s">
        <v>122</v>
      </c>
      <c r="K255" s="70">
        <f>SUM(D255:I255)</f>
        <v>0</v>
      </c>
      <c r="L255" s="14"/>
      <c r="M255" s="16"/>
      <c r="N255" s="16">
        <v>1</v>
      </c>
      <c r="O255" s="16"/>
      <c r="P255" s="16"/>
      <c r="Q255" s="158"/>
    </row>
    <row r="256" spans="1:17" ht="13.5" customHeight="1">
      <c r="A256" s="275" t="s">
        <v>172</v>
      </c>
      <c r="B256" s="108" t="b">
        <f>IF(A256="Yes",TRUE,FALSE)</f>
        <v>0</v>
      </c>
      <c r="C256" s="108" t="b">
        <f>B256</f>
        <v>0</v>
      </c>
      <c r="D256" s="151"/>
      <c r="E256" s="152"/>
      <c r="F256" s="152"/>
      <c r="G256" s="152">
        <f>IF(C256,1,0)</f>
        <v>0</v>
      </c>
      <c r="H256" s="152">
        <f>IF(C256,1,0)</f>
        <v>0</v>
      </c>
      <c r="I256" s="152"/>
      <c r="J256" s="232" t="s">
        <v>110</v>
      </c>
      <c r="K256" s="70">
        <f>SUM(D256:I256)</f>
        <v>0</v>
      </c>
      <c r="L256" s="14"/>
      <c r="M256" s="16"/>
      <c r="N256" s="16">
        <v>1</v>
      </c>
      <c r="O256" s="16">
        <v>1</v>
      </c>
      <c r="P256" s="16"/>
      <c r="Q256" s="158"/>
    </row>
    <row r="257" spans="1:17" ht="13.5" customHeight="1">
      <c r="A257" s="288"/>
      <c r="B257" s="68"/>
      <c r="C257" s="68"/>
      <c r="D257" s="75"/>
      <c r="E257" s="76"/>
      <c r="F257" s="76"/>
      <c r="G257" s="76"/>
      <c r="H257" s="76"/>
      <c r="I257" s="76"/>
      <c r="J257" s="115" t="s">
        <v>226</v>
      </c>
      <c r="K257" s="102">
        <f>SUM(K251:K256)</f>
        <v>0</v>
      </c>
      <c r="L257" s="25"/>
      <c r="M257" s="25"/>
      <c r="N257" s="25"/>
      <c r="O257" s="25"/>
      <c r="P257" s="14"/>
      <c r="Q257" s="158"/>
    </row>
    <row r="258" spans="1:24" s="67" customFormat="1" ht="12.75" customHeight="1">
      <c r="A258" s="351" t="s">
        <v>231</v>
      </c>
      <c r="B258" s="142"/>
      <c r="C258" s="142"/>
      <c r="D258" s="142"/>
      <c r="E258" s="143"/>
      <c r="F258" s="143"/>
      <c r="G258" s="143"/>
      <c r="H258" s="143"/>
      <c r="I258" s="143"/>
      <c r="J258" s="146"/>
      <c r="K258" s="70"/>
      <c r="L258" s="384" t="s">
        <v>23</v>
      </c>
      <c r="M258" s="384"/>
      <c r="N258" s="384"/>
      <c r="O258" s="384"/>
      <c r="P258" s="385"/>
      <c r="Q258" s="307"/>
      <c r="X258" s="208"/>
    </row>
    <row r="259" spans="1:17" ht="12.75">
      <c r="A259" s="286"/>
      <c r="J259" s="247" t="s">
        <v>227</v>
      </c>
      <c r="K259" s="81"/>
      <c r="L259" s="259"/>
      <c r="M259" s="260"/>
      <c r="N259" s="261"/>
      <c r="O259" s="261"/>
      <c r="P259" s="262"/>
      <c r="Q259" s="304"/>
    </row>
    <row r="260" spans="10:17" ht="12.75">
      <c r="J260" s="247" t="s">
        <v>192</v>
      </c>
      <c r="K260" s="88"/>
      <c r="L260" s="263"/>
      <c r="M260" s="150"/>
      <c r="N260" s="264"/>
      <c r="O260" s="264"/>
      <c r="P260" s="265"/>
      <c r="Q260" s="273"/>
    </row>
    <row r="261" spans="1:17" ht="12.75">
      <c r="A261" s="275" t="s">
        <v>172</v>
      </c>
      <c r="B261" s="108" t="b">
        <f>IF(A261="Yes",TRUE,FALSE)</f>
        <v>0</v>
      </c>
      <c r="C261" s="55" t="b">
        <f>B261</f>
        <v>0</v>
      </c>
      <c r="E261" s="55">
        <f>IF(C261,1,0)</f>
        <v>0</v>
      </c>
      <c r="J261" s="256" t="s">
        <v>193</v>
      </c>
      <c r="K261" s="70">
        <f>SUM(E261:I261)</f>
        <v>0</v>
      </c>
      <c r="L261" s="131">
        <v>1</v>
      </c>
      <c r="M261" s="16"/>
      <c r="N261" s="24"/>
      <c r="O261" s="24"/>
      <c r="P261" s="24"/>
      <c r="Q261" s="273"/>
    </row>
    <row r="262" spans="1:17" ht="12.75">
      <c r="A262" s="287"/>
      <c r="B262" s="108"/>
      <c r="J262" s="247" t="s">
        <v>228</v>
      </c>
      <c r="K262" s="81">
        <f aca="true" t="shared" si="27" ref="K262:K298">SUM(E262:I262)</f>
        <v>0</v>
      </c>
      <c r="L262" s="266"/>
      <c r="M262" s="267"/>
      <c r="N262" s="268"/>
      <c r="O262" s="268"/>
      <c r="P262" s="269"/>
      <c r="Q262" s="273"/>
    </row>
    <row r="263" spans="1:17" ht="12.75">
      <c r="A263" s="278"/>
      <c r="B263" s="108"/>
      <c r="J263" s="247" t="s">
        <v>194</v>
      </c>
      <c r="K263" s="88">
        <f t="shared" si="27"/>
        <v>0</v>
      </c>
      <c r="L263" s="263"/>
      <c r="M263" s="150"/>
      <c r="N263" s="264"/>
      <c r="O263" s="264"/>
      <c r="P263" s="265"/>
      <c r="Q263" s="273"/>
    </row>
    <row r="264" spans="1:17" ht="12.75">
      <c r="A264" s="275" t="s">
        <v>172</v>
      </c>
      <c r="B264" s="108" t="b">
        <f>IF(A264="Yes",TRUE,FALSE)</f>
        <v>0</v>
      </c>
      <c r="C264" s="55" t="b">
        <f>B264</f>
        <v>0</v>
      </c>
      <c r="I264" s="55">
        <f>IF(C264,1,0)</f>
        <v>0</v>
      </c>
      <c r="J264" s="256" t="s">
        <v>195</v>
      </c>
      <c r="K264" s="70">
        <f t="shared" si="27"/>
        <v>0</v>
      </c>
      <c r="L264" s="131"/>
      <c r="M264" s="16"/>
      <c r="N264" s="24"/>
      <c r="O264" s="24"/>
      <c r="P264" s="24">
        <v>1</v>
      </c>
      <c r="Q264" s="273"/>
    </row>
    <row r="265" spans="1:17" ht="12.75">
      <c r="A265" s="287"/>
      <c r="B265" s="108"/>
      <c r="J265" s="247" t="s">
        <v>196</v>
      </c>
      <c r="K265" s="81">
        <f t="shared" si="27"/>
        <v>0</v>
      </c>
      <c r="L265" s="266"/>
      <c r="M265" s="267"/>
      <c r="N265" s="268"/>
      <c r="O265" s="268"/>
      <c r="P265" s="269"/>
      <c r="Q265" s="273"/>
    </row>
    <row r="266" spans="1:17" ht="12.75">
      <c r="A266" s="278"/>
      <c r="B266" s="108"/>
      <c r="J266" s="256" t="s">
        <v>197</v>
      </c>
      <c r="K266" s="88">
        <f t="shared" si="27"/>
        <v>0</v>
      </c>
      <c r="L266" s="263"/>
      <c r="M266" s="150"/>
      <c r="N266" s="264"/>
      <c r="O266" s="264"/>
      <c r="P266" s="265"/>
      <c r="Q266" s="273"/>
    </row>
    <row r="267" spans="1:17" ht="12.75">
      <c r="A267" s="275" t="s">
        <v>172</v>
      </c>
      <c r="B267" s="108" t="b">
        <f>IF(A267="Yes",TRUE,FALSE)</f>
        <v>0</v>
      </c>
      <c r="C267" s="55" t="b">
        <f>B267</f>
        <v>0</v>
      </c>
      <c r="H267" s="55">
        <f>IF(C267,1,0)</f>
        <v>0</v>
      </c>
      <c r="J267" s="257" t="s">
        <v>198</v>
      </c>
      <c r="K267" s="70">
        <f t="shared" si="27"/>
        <v>0</v>
      </c>
      <c r="L267" s="131"/>
      <c r="M267" s="16"/>
      <c r="N267" s="24"/>
      <c r="O267" s="24">
        <v>1</v>
      </c>
      <c r="P267" s="24"/>
      <c r="Q267" s="273"/>
    </row>
    <row r="268" spans="1:17" ht="22.5">
      <c r="A268" s="276" t="s">
        <v>172</v>
      </c>
      <c r="B268" s="253" t="b">
        <f>IF(OR(A268="TBD",A268="No"),FALSE,TRUE)</f>
        <v>0</v>
      </c>
      <c r="C268" s="72" t="b">
        <f>B268</f>
        <v>0</v>
      </c>
      <c r="G268" s="64">
        <f>IF(C268,IF(A268="≥90%",1,1*A268),0)</f>
        <v>0</v>
      </c>
      <c r="J268" s="257" t="s">
        <v>199</v>
      </c>
      <c r="K268" s="70">
        <f t="shared" si="27"/>
        <v>0</v>
      </c>
      <c r="L268" s="131"/>
      <c r="M268" s="16"/>
      <c r="N268" s="24">
        <v>1</v>
      </c>
      <c r="O268" s="24"/>
      <c r="P268" s="24"/>
      <c r="Q268" s="273"/>
    </row>
    <row r="269" spans="1:17" ht="22.5">
      <c r="A269" s="275" t="s">
        <v>172</v>
      </c>
      <c r="B269" s="108" t="b">
        <f>IF(A269="Yes",TRUE,FALSE)</f>
        <v>0</v>
      </c>
      <c r="C269" s="55" t="b">
        <f>B269</f>
        <v>0</v>
      </c>
      <c r="G269" s="55">
        <f>IF(C269,1,0)</f>
        <v>0</v>
      </c>
      <c r="J269" s="256" t="s">
        <v>200</v>
      </c>
      <c r="K269" s="70">
        <f t="shared" si="27"/>
        <v>0</v>
      </c>
      <c r="L269" s="131"/>
      <c r="M269" s="16"/>
      <c r="N269" s="24">
        <v>1</v>
      </c>
      <c r="O269" s="24"/>
      <c r="P269" s="24"/>
      <c r="Q269" s="273"/>
    </row>
    <row r="270" spans="1:17" ht="12.75">
      <c r="A270" s="278"/>
      <c r="B270" s="108"/>
      <c r="J270" s="256" t="s">
        <v>201</v>
      </c>
      <c r="K270" s="70">
        <f t="shared" si="27"/>
        <v>0</v>
      </c>
      <c r="L270" s="270"/>
      <c r="M270" s="25"/>
      <c r="N270" s="271"/>
      <c r="O270" s="271"/>
      <c r="P270" s="131"/>
      <c r="Q270" s="273"/>
    </row>
    <row r="271" spans="1:17" ht="12.75">
      <c r="A271" s="276" t="s">
        <v>172</v>
      </c>
      <c r="B271" s="253" t="b">
        <f aca="true" t="shared" si="28" ref="B271:B276">IF(OR(A271="TBD",A271="No"),FALSE,TRUE)</f>
        <v>0</v>
      </c>
      <c r="C271" s="72" t="b">
        <f aca="true" t="shared" si="29" ref="C271:C276">B271</f>
        <v>0</v>
      </c>
      <c r="H271" s="64">
        <f aca="true" t="shared" si="30" ref="H271:H276">IF(C271,IF(A271="≥90%",1,1*A271),0)</f>
        <v>0</v>
      </c>
      <c r="J271" s="257" t="s">
        <v>202</v>
      </c>
      <c r="K271" s="70">
        <f t="shared" si="27"/>
        <v>0</v>
      </c>
      <c r="L271" s="131"/>
      <c r="M271" s="16"/>
      <c r="N271" s="24"/>
      <c r="O271" s="24">
        <v>1</v>
      </c>
      <c r="P271" s="24"/>
      <c r="Q271" s="273"/>
    </row>
    <row r="272" spans="1:17" ht="12.75">
      <c r="A272" s="276" t="s">
        <v>172</v>
      </c>
      <c r="B272" s="253" t="b">
        <f t="shared" si="28"/>
        <v>0</v>
      </c>
      <c r="C272" s="72" t="b">
        <f t="shared" si="29"/>
        <v>0</v>
      </c>
      <c r="H272" s="64">
        <f t="shared" si="30"/>
        <v>0</v>
      </c>
      <c r="J272" s="257" t="s">
        <v>203</v>
      </c>
      <c r="K272" s="70">
        <f t="shared" si="27"/>
        <v>0</v>
      </c>
      <c r="L272" s="131"/>
      <c r="M272" s="16"/>
      <c r="N272" s="24"/>
      <c r="O272" s="24">
        <v>1</v>
      </c>
      <c r="P272" s="24"/>
      <c r="Q272" s="273"/>
    </row>
    <row r="273" spans="1:17" ht="12.75">
      <c r="A273" s="276" t="s">
        <v>172</v>
      </c>
      <c r="B273" s="253" t="b">
        <f t="shared" si="28"/>
        <v>0</v>
      </c>
      <c r="C273" s="72" t="b">
        <f t="shared" si="29"/>
        <v>0</v>
      </c>
      <c r="H273" s="64">
        <f t="shared" si="30"/>
        <v>0</v>
      </c>
      <c r="J273" s="257" t="s">
        <v>204</v>
      </c>
      <c r="K273" s="70">
        <f t="shared" si="27"/>
        <v>0</v>
      </c>
      <c r="L273" s="131"/>
      <c r="M273" s="16"/>
      <c r="N273" s="24"/>
      <c r="O273" s="24">
        <v>1</v>
      </c>
      <c r="P273" s="24"/>
      <c r="Q273" s="273"/>
    </row>
    <row r="274" spans="1:17" ht="12.75">
      <c r="A274" s="276" t="s">
        <v>172</v>
      </c>
      <c r="B274" s="253" t="b">
        <f t="shared" si="28"/>
        <v>0</v>
      </c>
      <c r="C274" s="72" t="b">
        <f t="shared" si="29"/>
        <v>0</v>
      </c>
      <c r="H274" s="64">
        <f t="shared" si="30"/>
        <v>0</v>
      </c>
      <c r="J274" s="257" t="s">
        <v>205</v>
      </c>
      <c r="K274" s="70">
        <f t="shared" si="27"/>
        <v>0</v>
      </c>
      <c r="L274" s="131"/>
      <c r="M274" s="16"/>
      <c r="N274" s="24"/>
      <c r="O274" s="24">
        <v>1</v>
      </c>
      <c r="P274" s="24"/>
      <c r="Q274" s="273"/>
    </row>
    <row r="275" spans="1:17" ht="12.75">
      <c r="A275" s="276" t="s">
        <v>172</v>
      </c>
      <c r="B275" s="253" t="b">
        <f t="shared" si="28"/>
        <v>0</v>
      </c>
      <c r="C275" s="72" t="b">
        <f t="shared" si="29"/>
        <v>0</v>
      </c>
      <c r="H275" s="64">
        <f t="shared" si="30"/>
        <v>0</v>
      </c>
      <c r="J275" s="257" t="s">
        <v>206</v>
      </c>
      <c r="K275" s="70">
        <f t="shared" si="27"/>
        <v>0</v>
      </c>
      <c r="L275" s="131"/>
      <c r="M275" s="16"/>
      <c r="N275" s="24"/>
      <c r="O275" s="24">
        <v>1</v>
      </c>
      <c r="P275" s="24"/>
      <c r="Q275" s="273"/>
    </row>
    <row r="276" spans="1:17" ht="12.75">
      <c r="A276" s="276" t="s">
        <v>172</v>
      </c>
      <c r="B276" s="253" t="b">
        <f t="shared" si="28"/>
        <v>0</v>
      </c>
      <c r="C276" s="72" t="b">
        <f t="shared" si="29"/>
        <v>0</v>
      </c>
      <c r="H276" s="64">
        <f t="shared" si="30"/>
        <v>0</v>
      </c>
      <c r="J276" s="257" t="s">
        <v>207</v>
      </c>
      <c r="K276" s="70">
        <f t="shared" si="27"/>
        <v>0</v>
      </c>
      <c r="L276" s="131"/>
      <c r="M276" s="16"/>
      <c r="N276" s="24"/>
      <c r="O276" s="24">
        <v>1</v>
      </c>
      <c r="P276" s="24"/>
      <c r="Q276" s="273"/>
    </row>
    <row r="277" spans="1:17" ht="12.75">
      <c r="A277" s="287"/>
      <c r="B277" s="108"/>
      <c r="J277" s="247" t="s">
        <v>208</v>
      </c>
      <c r="K277" s="81">
        <f t="shared" si="27"/>
        <v>0</v>
      </c>
      <c r="L277" s="266"/>
      <c r="M277" s="267"/>
      <c r="N277" s="268"/>
      <c r="O277" s="268"/>
      <c r="P277" s="269"/>
      <c r="Q277" s="273"/>
    </row>
    <row r="278" spans="1:17" ht="12.75">
      <c r="A278" s="276" t="s">
        <v>172</v>
      </c>
      <c r="B278" s="108" t="b">
        <f>IF(OR(A278="No",A278="TBD"),FALSE,TRUE)</f>
        <v>0</v>
      </c>
      <c r="C278" s="55" t="b">
        <f>B278</f>
        <v>0</v>
      </c>
      <c r="E278" s="55">
        <f>IF(B278,IF(A278=0.25,1,2),0)</f>
        <v>0</v>
      </c>
      <c r="F278" s="55">
        <f>IF(B278,IF(A278=0.25,1,2),0)</f>
        <v>0</v>
      </c>
      <c r="J278" s="256" t="s">
        <v>209</v>
      </c>
      <c r="K278" s="70">
        <f t="shared" si="27"/>
        <v>0</v>
      </c>
      <c r="L278" s="24">
        <v>2</v>
      </c>
      <c r="M278" s="16">
        <v>2</v>
      </c>
      <c r="N278" s="24"/>
      <c r="O278" s="24"/>
      <c r="P278" s="24"/>
      <c r="Q278" s="273"/>
    </row>
    <row r="279" spans="1:17" ht="12.75">
      <c r="A279" s="357"/>
      <c r="B279" s="108"/>
      <c r="J279" s="247" t="s">
        <v>229</v>
      </c>
      <c r="K279" s="70">
        <f t="shared" si="27"/>
        <v>0</v>
      </c>
      <c r="L279" s="266"/>
      <c r="M279" s="267"/>
      <c r="N279" s="268"/>
      <c r="O279" s="268"/>
      <c r="P279" s="269"/>
      <c r="Q279" s="273"/>
    </row>
    <row r="280" spans="1:17" ht="12.75">
      <c r="A280" s="278"/>
      <c r="B280" s="108"/>
      <c r="J280" s="247" t="s">
        <v>210</v>
      </c>
      <c r="K280" s="70">
        <f t="shared" si="27"/>
        <v>0</v>
      </c>
      <c r="L280" s="263"/>
      <c r="M280" s="150"/>
      <c r="N280" s="264"/>
      <c r="O280" s="264"/>
      <c r="P280" s="265"/>
      <c r="Q280" s="273"/>
    </row>
    <row r="281" spans="1:17" ht="12.75">
      <c r="A281" s="275" t="s">
        <v>172</v>
      </c>
      <c r="B281" s="108" t="b">
        <f>IF(A281="Yes",TRUE,FALSE)</f>
        <v>0</v>
      </c>
      <c r="C281" s="55" t="b">
        <f>B281</f>
        <v>0</v>
      </c>
      <c r="I281" s="55">
        <f>IF(C281,1,0)</f>
        <v>0</v>
      </c>
      <c r="J281" s="256" t="s">
        <v>211</v>
      </c>
      <c r="K281" s="70">
        <f t="shared" si="27"/>
        <v>0</v>
      </c>
      <c r="L281" s="131"/>
      <c r="M281" s="16"/>
      <c r="N281" s="24"/>
      <c r="O281" s="24"/>
      <c r="P281" s="24">
        <v>1</v>
      </c>
      <c r="Q281" s="273"/>
    </row>
    <row r="282" spans="1:17" ht="12.75">
      <c r="A282" s="275" t="s">
        <v>172</v>
      </c>
      <c r="B282" s="108" t="b">
        <f>IF(A282="Yes",TRUE,FALSE)</f>
        <v>0</v>
      </c>
      <c r="C282" s="55" t="b">
        <f>B282</f>
        <v>0</v>
      </c>
      <c r="I282" s="55">
        <f>IF(C282,2,0)</f>
        <v>0</v>
      </c>
      <c r="J282" s="256" t="s">
        <v>212</v>
      </c>
      <c r="K282" s="70">
        <f t="shared" si="27"/>
        <v>0</v>
      </c>
      <c r="L282" s="131"/>
      <c r="M282" s="16"/>
      <c r="N282" s="24"/>
      <c r="O282" s="24"/>
      <c r="P282" s="24">
        <v>2</v>
      </c>
      <c r="Q282" s="273"/>
    </row>
    <row r="283" spans="1:17" ht="13.5" customHeight="1">
      <c r="A283" s="275" t="s">
        <v>172</v>
      </c>
      <c r="B283" s="108" t="b">
        <f>IF(A283="Yes",TRUE,FALSE)</f>
        <v>0</v>
      </c>
      <c r="C283" s="55" t="b">
        <f>B283</f>
        <v>0</v>
      </c>
      <c r="I283" s="55">
        <f>IF(C283,1,0)</f>
        <v>0</v>
      </c>
      <c r="J283" s="256" t="s">
        <v>213</v>
      </c>
      <c r="K283" s="70">
        <f t="shared" si="27"/>
        <v>0</v>
      </c>
      <c r="L283" s="131"/>
      <c r="M283" s="16"/>
      <c r="N283" s="24"/>
      <c r="O283" s="24"/>
      <c r="P283" s="24">
        <v>1</v>
      </c>
      <c r="Q283" s="273"/>
    </row>
    <row r="284" spans="1:17" ht="12.75">
      <c r="A284" s="276" t="s">
        <v>172</v>
      </c>
      <c r="B284" s="253" t="b">
        <f>IF(OR(A284="TBD",A284="No"),FALSE,TRUE)</f>
        <v>0</v>
      </c>
      <c r="C284" s="72" t="b">
        <f>B284</f>
        <v>0</v>
      </c>
      <c r="I284" s="64">
        <f>IF(C284,IF(A284="≥90%",1,1*A284),0)</f>
        <v>0</v>
      </c>
      <c r="J284" s="256" t="s">
        <v>214</v>
      </c>
      <c r="K284" s="70">
        <f t="shared" si="27"/>
        <v>0</v>
      </c>
      <c r="L284" s="131"/>
      <c r="M284" s="16"/>
      <c r="N284" s="24"/>
      <c r="O284" s="24"/>
      <c r="P284" s="24">
        <v>1</v>
      </c>
      <c r="Q284" s="273"/>
    </row>
    <row r="285" spans="1:17" ht="12.75">
      <c r="A285" s="275" t="s">
        <v>172</v>
      </c>
      <c r="B285" s="108" t="b">
        <f>IF(A285="Yes",TRUE,FALSE)</f>
        <v>0</v>
      </c>
      <c r="C285" s="55" t="b">
        <f>B285</f>
        <v>0</v>
      </c>
      <c r="F285" s="55">
        <f>IF(C285,1,0)</f>
        <v>0</v>
      </c>
      <c r="J285" s="256" t="s">
        <v>215</v>
      </c>
      <c r="K285" s="70">
        <f t="shared" si="27"/>
        <v>0</v>
      </c>
      <c r="L285" s="131"/>
      <c r="M285" s="16">
        <v>1</v>
      </c>
      <c r="N285" s="24"/>
      <c r="O285" s="24"/>
      <c r="P285" s="24"/>
      <c r="Q285" s="273"/>
    </row>
    <row r="286" spans="1:17" ht="12.75">
      <c r="A286" s="278"/>
      <c r="B286" s="108"/>
      <c r="J286" s="247" t="s">
        <v>216</v>
      </c>
      <c r="K286" s="70">
        <f t="shared" si="27"/>
        <v>0</v>
      </c>
      <c r="L286" s="270"/>
      <c r="M286" s="25"/>
      <c r="N286" s="271"/>
      <c r="O286" s="271"/>
      <c r="P286" s="131"/>
      <c r="Q286" s="273"/>
    </row>
    <row r="287" spans="1:17" ht="12.75">
      <c r="A287" s="275" t="s">
        <v>172</v>
      </c>
      <c r="B287" s="108" t="b">
        <f>IF(A287="Yes",TRUE,FALSE)</f>
        <v>0</v>
      </c>
      <c r="C287" s="55" t="b">
        <f>B287</f>
        <v>0</v>
      </c>
      <c r="G287" s="55">
        <f>IF(C287,1,0)</f>
        <v>0</v>
      </c>
      <c r="J287" s="256" t="s">
        <v>217</v>
      </c>
      <c r="K287" s="70">
        <f t="shared" si="27"/>
        <v>0</v>
      </c>
      <c r="L287" s="131"/>
      <c r="M287" s="16"/>
      <c r="N287" s="24">
        <v>1</v>
      </c>
      <c r="O287" s="24"/>
      <c r="P287" s="24"/>
      <c r="Q287" s="273"/>
    </row>
    <row r="288" spans="1:17" ht="12.75">
      <c r="A288" s="357"/>
      <c r="B288" s="108"/>
      <c r="J288" s="247" t="s">
        <v>230</v>
      </c>
      <c r="K288" s="81">
        <f t="shared" si="27"/>
        <v>0</v>
      </c>
      <c r="L288" s="266"/>
      <c r="M288" s="267"/>
      <c r="N288" s="268"/>
      <c r="O288" s="268"/>
      <c r="P288" s="269"/>
      <c r="Q288" s="273"/>
    </row>
    <row r="289" spans="1:17" ht="12.75">
      <c r="A289" s="278"/>
      <c r="B289" s="108"/>
      <c r="J289" s="247" t="s">
        <v>218</v>
      </c>
      <c r="K289" s="88">
        <f t="shared" si="27"/>
        <v>0</v>
      </c>
      <c r="L289" s="263"/>
      <c r="M289" s="150"/>
      <c r="N289" s="264"/>
      <c r="O289" s="264"/>
      <c r="P289" s="265"/>
      <c r="Q289" s="273"/>
    </row>
    <row r="290" spans="1:17" ht="12.75">
      <c r="A290" s="275" t="s">
        <v>172</v>
      </c>
      <c r="B290" s="108" t="b">
        <f>IF(A290="Yes",TRUE,FALSE)</f>
        <v>0</v>
      </c>
      <c r="C290" s="55" t="b">
        <f>B290</f>
        <v>0</v>
      </c>
      <c r="F290" s="55">
        <f>IF(C290,1,0)</f>
        <v>0</v>
      </c>
      <c r="J290" s="256" t="s">
        <v>219</v>
      </c>
      <c r="K290" s="70">
        <f t="shared" si="27"/>
        <v>0</v>
      </c>
      <c r="L290" s="131"/>
      <c r="M290" s="16">
        <v>1</v>
      </c>
      <c r="N290" s="24"/>
      <c r="O290" s="24"/>
      <c r="P290" s="24"/>
      <c r="Q290" s="273"/>
    </row>
    <row r="291" spans="1:24" s="67" customFormat="1" ht="12.75">
      <c r="A291" s="275" t="s">
        <v>172</v>
      </c>
      <c r="B291" s="108" t="b">
        <f>IF(A291="Yes",TRUE,FALSE)</f>
        <v>0</v>
      </c>
      <c r="C291" s="67" t="b">
        <f>B291</f>
        <v>0</v>
      </c>
      <c r="F291" s="67">
        <f>IF(C291,1,0)</f>
        <v>0</v>
      </c>
      <c r="J291" s="256" t="s">
        <v>232</v>
      </c>
      <c r="K291" s="70">
        <f t="shared" si="27"/>
        <v>0</v>
      </c>
      <c r="L291" s="131"/>
      <c r="M291" s="16">
        <v>1</v>
      </c>
      <c r="N291" s="24"/>
      <c r="O291" s="24"/>
      <c r="P291" s="24"/>
      <c r="Q291" s="273"/>
      <c r="R291" s="97"/>
      <c r="X291" s="208"/>
    </row>
    <row r="292" spans="1:17" ht="12.75">
      <c r="A292" s="357"/>
      <c r="B292" s="108"/>
      <c r="J292" s="247" t="s">
        <v>220</v>
      </c>
      <c r="K292" s="81">
        <f t="shared" si="27"/>
        <v>0</v>
      </c>
      <c r="L292" s="266"/>
      <c r="M292" s="267"/>
      <c r="N292" s="268"/>
      <c r="O292" s="268"/>
      <c r="P292" s="269"/>
      <c r="Q292" s="273"/>
    </row>
    <row r="293" spans="1:17" ht="12.75">
      <c r="A293" s="358"/>
      <c r="B293" s="108"/>
      <c r="C293" s="55">
        <f>B293</f>
        <v>0</v>
      </c>
      <c r="J293" s="247" t="s">
        <v>221</v>
      </c>
      <c r="K293" s="85">
        <f t="shared" si="27"/>
        <v>0</v>
      </c>
      <c r="L293" s="272"/>
      <c r="M293" s="158"/>
      <c r="N293" s="273"/>
      <c r="O293" s="273"/>
      <c r="P293" s="274"/>
      <c r="Q293" s="273"/>
    </row>
    <row r="294" spans="1:17" ht="12.75">
      <c r="A294" s="358"/>
      <c r="B294" s="108"/>
      <c r="J294" s="247" t="s">
        <v>222</v>
      </c>
      <c r="K294" s="85">
        <f t="shared" si="27"/>
        <v>0</v>
      </c>
      <c r="L294" s="272"/>
      <c r="M294" s="158"/>
      <c r="N294" s="273"/>
      <c r="O294" s="273"/>
      <c r="P294" s="274"/>
      <c r="Q294" s="273"/>
    </row>
    <row r="295" spans="1:17" ht="12.75">
      <c r="A295" s="359"/>
      <c r="B295" s="108"/>
      <c r="J295" s="247" t="s">
        <v>223</v>
      </c>
      <c r="K295" s="88">
        <f t="shared" si="27"/>
        <v>0</v>
      </c>
      <c r="L295" s="263"/>
      <c r="M295" s="150"/>
      <c r="N295" s="264"/>
      <c r="O295" s="264"/>
      <c r="P295" s="265"/>
      <c r="Q295" s="273"/>
    </row>
    <row r="296" spans="1:17" ht="12.75">
      <c r="A296" s="275" t="s">
        <v>172</v>
      </c>
      <c r="B296" s="108" t="b">
        <f>IF(A296="Yes",TRUE,FALSE)</f>
        <v>0</v>
      </c>
      <c r="C296" s="55" t="b">
        <f>B296</f>
        <v>0</v>
      </c>
      <c r="E296" s="55">
        <f>IF(C296,1,0)</f>
        <v>0</v>
      </c>
      <c r="J296" s="256" t="s">
        <v>224</v>
      </c>
      <c r="K296" s="70">
        <f t="shared" si="27"/>
        <v>0</v>
      </c>
      <c r="L296" s="131">
        <v>1</v>
      </c>
      <c r="M296" s="16"/>
      <c r="N296" s="24"/>
      <c r="O296" s="24"/>
      <c r="P296" s="24"/>
      <c r="Q296" s="273"/>
    </row>
    <row r="297" spans="1:17" ht="12.75">
      <c r="A297" s="275" t="s">
        <v>172</v>
      </c>
      <c r="B297" s="108" t="b">
        <f>IF(A297="Yes",TRUE,FALSE)</f>
        <v>0</v>
      </c>
      <c r="C297" s="55" t="b">
        <f>B297</f>
        <v>0</v>
      </c>
      <c r="E297" s="55">
        <f>IF(C297,1,0)</f>
        <v>0</v>
      </c>
      <c r="J297" s="256" t="s">
        <v>225</v>
      </c>
      <c r="K297" s="70">
        <f t="shared" si="27"/>
        <v>0</v>
      </c>
      <c r="L297" s="131">
        <v>1</v>
      </c>
      <c r="M297" s="16"/>
      <c r="N297" s="24"/>
      <c r="O297" s="24"/>
      <c r="P297" s="24"/>
      <c r="Q297" s="273"/>
    </row>
    <row r="298" spans="1:17" ht="29.25" customHeight="1">
      <c r="A298" s="353"/>
      <c r="B298" s="108"/>
      <c r="C298" s="68"/>
      <c r="D298" s="75"/>
      <c r="E298" s="76"/>
      <c r="F298" s="76"/>
      <c r="G298" s="76"/>
      <c r="H298" s="76"/>
      <c r="I298" s="76"/>
      <c r="J298" s="256" t="s">
        <v>252</v>
      </c>
      <c r="K298" s="70">
        <f t="shared" si="27"/>
        <v>0</v>
      </c>
      <c r="L298" s="270"/>
      <c r="M298" s="25"/>
      <c r="N298" s="271"/>
      <c r="O298" s="271"/>
      <c r="P298" s="131"/>
      <c r="Q298" s="273"/>
    </row>
    <row r="299" spans="1:17" ht="13.5">
      <c r="A299" s="275" t="s">
        <v>172</v>
      </c>
      <c r="B299" s="108" t="b">
        <f aca="true" t="shared" si="31" ref="B299:B306">IF(A299="Yes",TRUE,FALSE)</f>
        <v>0</v>
      </c>
      <c r="C299" s="63" t="b">
        <f>B299</f>
        <v>0</v>
      </c>
      <c r="D299" s="56"/>
      <c r="E299" s="255">
        <f aca="true" t="shared" si="32" ref="E299:E306">IF(L299="",0,IF($C299,L299,0))</f>
        <v>0</v>
      </c>
      <c r="F299" s="255">
        <f aca="true" t="shared" si="33" ref="F299:I306">IF(M299="",0,IF($C299,M299,0))</f>
        <v>0</v>
      </c>
      <c r="G299" s="255">
        <f t="shared" si="33"/>
        <v>0</v>
      </c>
      <c r="H299" s="255">
        <f t="shared" si="33"/>
        <v>0</v>
      </c>
      <c r="I299" s="255">
        <f t="shared" si="33"/>
        <v>0</v>
      </c>
      <c r="J299" s="258" t="s">
        <v>243</v>
      </c>
      <c r="K299" s="70">
        <f aca="true" t="shared" si="34" ref="K299:K306">SUM(D299:I299)</f>
        <v>0</v>
      </c>
      <c r="L299" s="355"/>
      <c r="M299" s="356"/>
      <c r="N299" s="356"/>
      <c r="O299" s="356"/>
      <c r="P299" s="356"/>
      <c r="Q299" s="354"/>
    </row>
    <row r="300" spans="1:17" ht="13.5">
      <c r="A300" s="275" t="s">
        <v>172</v>
      </c>
      <c r="B300" s="108" t="b">
        <f t="shared" si="31"/>
        <v>0</v>
      </c>
      <c r="C300" s="63" t="b">
        <f aca="true" t="shared" si="35" ref="C300:C306">B300</f>
        <v>0</v>
      </c>
      <c r="D300" s="56"/>
      <c r="E300" s="255">
        <f t="shared" si="32"/>
        <v>0</v>
      </c>
      <c r="F300" s="255">
        <f t="shared" si="33"/>
        <v>0</v>
      </c>
      <c r="G300" s="255">
        <f t="shared" si="33"/>
        <v>0</v>
      </c>
      <c r="H300" s="255">
        <f t="shared" si="33"/>
        <v>0</v>
      </c>
      <c r="I300" s="255">
        <f t="shared" si="33"/>
        <v>0</v>
      </c>
      <c r="J300" s="258" t="s">
        <v>244</v>
      </c>
      <c r="K300" s="70">
        <f t="shared" si="34"/>
        <v>0</v>
      </c>
      <c r="L300" s="355"/>
      <c r="M300" s="356"/>
      <c r="N300" s="356"/>
      <c r="O300" s="356"/>
      <c r="P300" s="356"/>
      <c r="Q300" s="354"/>
    </row>
    <row r="301" spans="1:17" ht="13.5">
      <c r="A301" s="275" t="s">
        <v>172</v>
      </c>
      <c r="B301" s="108" t="b">
        <f t="shared" si="31"/>
        <v>0</v>
      </c>
      <c r="C301" s="63" t="b">
        <f t="shared" si="35"/>
        <v>0</v>
      </c>
      <c r="D301" s="56"/>
      <c r="E301" s="255">
        <f t="shared" si="32"/>
        <v>0</v>
      </c>
      <c r="F301" s="255">
        <f t="shared" si="33"/>
        <v>0</v>
      </c>
      <c r="G301" s="255">
        <f t="shared" si="33"/>
        <v>0</v>
      </c>
      <c r="H301" s="255">
        <f t="shared" si="33"/>
        <v>0</v>
      </c>
      <c r="I301" s="255">
        <f t="shared" si="33"/>
        <v>0</v>
      </c>
      <c r="J301" s="258" t="s">
        <v>245</v>
      </c>
      <c r="K301" s="70">
        <f t="shared" si="34"/>
        <v>0</v>
      </c>
      <c r="L301" s="355"/>
      <c r="M301" s="356"/>
      <c r="N301" s="356"/>
      <c r="O301" s="356"/>
      <c r="P301" s="356"/>
      <c r="Q301" s="354"/>
    </row>
    <row r="302" spans="1:17" ht="13.5">
      <c r="A302" s="275" t="s">
        <v>172</v>
      </c>
      <c r="B302" s="108" t="b">
        <f t="shared" si="31"/>
        <v>0</v>
      </c>
      <c r="C302" s="63" t="b">
        <f t="shared" si="35"/>
        <v>0</v>
      </c>
      <c r="D302" s="56"/>
      <c r="E302" s="255">
        <f t="shared" si="32"/>
        <v>0</v>
      </c>
      <c r="F302" s="255">
        <f t="shared" si="33"/>
        <v>0</v>
      </c>
      <c r="G302" s="255">
        <f t="shared" si="33"/>
        <v>0</v>
      </c>
      <c r="H302" s="255">
        <f t="shared" si="33"/>
        <v>0</v>
      </c>
      <c r="I302" s="255">
        <f t="shared" si="33"/>
        <v>0</v>
      </c>
      <c r="J302" s="258" t="s">
        <v>246</v>
      </c>
      <c r="K302" s="70">
        <f t="shared" si="34"/>
        <v>0</v>
      </c>
      <c r="L302" s="355"/>
      <c r="M302" s="356"/>
      <c r="N302" s="356"/>
      <c r="O302" s="356"/>
      <c r="P302" s="356"/>
      <c r="Q302" s="354"/>
    </row>
    <row r="303" spans="1:23" ht="13.5">
      <c r="A303" s="275" t="s">
        <v>172</v>
      </c>
      <c r="B303" s="108" t="b">
        <f t="shared" si="31"/>
        <v>0</v>
      </c>
      <c r="C303" s="63" t="b">
        <f t="shared" si="35"/>
        <v>0</v>
      </c>
      <c r="D303" s="94"/>
      <c r="E303" s="255">
        <f t="shared" si="32"/>
        <v>0</v>
      </c>
      <c r="F303" s="255">
        <f t="shared" si="33"/>
        <v>0</v>
      </c>
      <c r="G303" s="255">
        <f t="shared" si="33"/>
        <v>0</v>
      </c>
      <c r="H303" s="255">
        <f t="shared" si="33"/>
        <v>0</v>
      </c>
      <c r="I303" s="255">
        <f t="shared" si="33"/>
        <v>0</v>
      </c>
      <c r="J303" s="258" t="s">
        <v>247</v>
      </c>
      <c r="K303" s="70">
        <f t="shared" si="34"/>
        <v>0</v>
      </c>
      <c r="L303" s="355"/>
      <c r="M303" s="356"/>
      <c r="N303" s="356"/>
      <c r="O303" s="356"/>
      <c r="P303" s="356"/>
      <c r="Q303" s="354"/>
      <c r="T303" s="63"/>
      <c r="U303" s="63"/>
      <c r="V303" s="63"/>
      <c r="W303" s="63"/>
    </row>
    <row r="304" spans="1:23" ht="13.5">
      <c r="A304" s="275" t="s">
        <v>172</v>
      </c>
      <c r="B304" s="108" t="b">
        <f t="shared" si="31"/>
        <v>0</v>
      </c>
      <c r="C304" s="63" t="b">
        <f t="shared" si="35"/>
        <v>0</v>
      </c>
      <c r="D304" s="94"/>
      <c r="E304" s="255">
        <f t="shared" si="32"/>
        <v>0</v>
      </c>
      <c r="F304" s="255">
        <f t="shared" si="33"/>
        <v>0</v>
      </c>
      <c r="G304" s="255">
        <f t="shared" si="33"/>
        <v>0</v>
      </c>
      <c r="H304" s="255">
        <f t="shared" si="33"/>
        <v>0</v>
      </c>
      <c r="I304" s="255">
        <f t="shared" si="33"/>
        <v>0</v>
      </c>
      <c r="J304" s="258" t="s">
        <v>248</v>
      </c>
      <c r="K304" s="70">
        <f t="shared" si="34"/>
        <v>0</v>
      </c>
      <c r="L304" s="355"/>
      <c r="M304" s="356"/>
      <c r="N304" s="356"/>
      <c r="O304" s="356"/>
      <c r="P304" s="356"/>
      <c r="Q304" s="354"/>
      <c r="T304" s="63"/>
      <c r="U304" s="63"/>
      <c r="V304" s="63"/>
      <c r="W304" s="63"/>
    </row>
    <row r="305" spans="1:23" ht="13.5">
      <c r="A305" s="275" t="s">
        <v>172</v>
      </c>
      <c r="B305" s="108" t="b">
        <f t="shared" si="31"/>
        <v>0</v>
      </c>
      <c r="C305" s="63" t="b">
        <f t="shared" si="35"/>
        <v>0</v>
      </c>
      <c r="D305" s="94"/>
      <c r="E305" s="255">
        <f t="shared" si="32"/>
        <v>0</v>
      </c>
      <c r="F305" s="255">
        <f t="shared" si="33"/>
        <v>0</v>
      </c>
      <c r="G305" s="255">
        <f t="shared" si="33"/>
        <v>0</v>
      </c>
      <c r="H305" s="255">
        <f t="shared" si="33"/>
        <v>0</v>
      </c>
      <c r="I305" s="255">
        <f t="shared" si="33"/>
        <v>0</v>
      </c>
      <c r="J305" s="258" t="s">
        <v>249</v>
      </c>
      <c r="K305" s="70">
        <f t="shared" si="34"/>
        <v>0</v>
      </c>
      <c r="L305" s="355"/>
      <c r="M305" s="356"/>
      <c r="N305" s="356"/>
      <c r="O305" s="356"/>
      <c r="P305" s="356"/>
      <c r="Q305" s="354"/>
      <c r="T305" s="63"/>
      <c r="U305" s="63"/>
      <c r="V305" s="63"/>
      <c r="W305" s="63"/>
    </row>
    <row r="306" spans="1:23" ht="13.5">
      <c r="A306" s="275" t="s">
        <v>172</v>
      </c>
      <c r="B306" s="108" t="b">
        <f t="shared" si="31"/>
        <v>0</v>
      </c>
      <c r="C306" s="63" t="b">
        <f t="shared" si="35"/>
        <v>0</v>
      </c>
      <c r="D306" s="94"/>
      <c r="E306" s="255">
        <f t="shared" si="32"/>
        <v>0</v>
      </c>
      <c r="F306" s="255">
        <f t="shared" si="33"/>
        <v>0</v>
      </c>
      <c r="G306" s="255">
        <f t="shared" si="33"/>
        <v>0</v>
      </c>
      <c r="H306" s="255">
        <f t="shared" si="33"/>
        <v>0</v>
      </c>
      <c r="I306" s="255">
        <f t="shared" si="33"/>
        <v>0</v>
      </c>
      <c r="J306" s="258" t="s">
        <v>250</v>
      </c>
      <c r="K306" s="70">
        <f t="shared" si="34"/>
        <v>0</v>
      </c>
      <c r="L306" s="355"/>
      <c r="M306" s="356"/>
      <c r="N306" s="356"/>
      <c r="O306" s="356"/>
      <c r="P306" s="356"/>
      <c r="Q306" s="354"/>
      <c r="T306" s="63"/>
      <c r="U306" s="63"/>
      <c r="V306" s="63"/>
      <c r="W306" s="63"/>
    </row>
    <row r="307" spans="1:23" ht="12.75">
      <c r="A307" s="93"/>
      <c r="B307" s="151"/>
      <c r="C307" s="151"/>
      <c r="D307" s="151"/>
      <c r="E307" s="79"/>
      <c r="F307" s="79"/>
      <c r="G307" s="79"/>
      <c r="H307" s="79"/>
      <c r="I307" s="79"/>
      <c r="J307" s="115" t="s">
        <v>305</v>
      </c>
      <c r="K307" s="135">
        <f>SUM(K261:K306)</f>
        <v>0</v>
      </c>
      <c r="L307" s="159">
        <v>0</v>
      </c>
      <c r="M307" s="159"/>
      <c r="N307" s="159"/>
      <c r="O307" s="159"/>
      <c r="P307" s="159"/>
      <c r="Q307" s="161"/>
      <c r="S307" s="160"/>
      <c r="T307" s="160"/>
      <c r="U307" s="160"/>
      <c r="V307" s="160"/>
      <c r="W307" s="161"/>
    </row>
    <row r="308" spans="1:24" s="67" customFormat="1" ht="17.25">
      <c r="A308" s="6" t="s">
        <v>101</v>
      </c>
      <c r="B308" s="162"/>
      <c r="C308" s="162"/>
      <c r="D308" s="162"/>
      <c r="E308" s="64"/>
      <c r="F308" s="64"/>
      <c r="G308" s="64"/>
      <c r="H308" s="64"/>
      <c r="I308" s="64"/>
      <c r="J308" s="4"/>
      <c r="K308" s="282"/>
      <c r="L308" s="283"/>
      <c r="M308" s="283"/>
      <c r="N308" s="283"/>
      <c r="O308" s="283"/>
      <c r="P308" s="283"/>
      <c r="Q308" s="309"/>
      <c r="S308" s="7"/>
      <c r="T308" s="7"/>
      <c r="U308" s="7"/>
      <c r="V308" s="7"/>
      <c r="W308" s="8"/>
      <c r="X308" s="208"/>
    </row>
    <row r="309" spans="1:23" ht="12.75">
      <c r="A309" s="74"/>
      <c r="B309" s="56"/>
      <c r="C309" s="56"/>
      <c r="D309" s="56"/>
      <c r="E309" s="56"/>
      <c r="F309" s="56"/>
      <c r="G309" s="56"/>
      <c r="H309" s="56"/>
      <c r="I309" s="56"/>
      <c r="J309" s="163" t="s">
        <v>109</v>
      </c>
      <c r="K309" s="284" t="s">
        <v>162</v>
      </c>
      <c r="L309" s="165">
        <f>SUM(L10:L307)</f>
        <v>25</v>
      </c>
      <c r="M309" s="165">
        <v>83</v>
      </c>
      <c r="N309" s="165">
        <f>SUM(N10:N307)</f>
        <v>46</v>
      </c>
      <c r="O309" s="165">
        <v>76</v>
      </c>
      <c r="P309" s="165">
        <f>SUM(P10:P307)</f>
        <v>47</v>
      </c>
      <c r="Q309" s="161"/>
      <c r="T309" s="63"/>
      <c r="U309" s="63"/>
      <c r="V309" s="63"/>
      <c r="W309" s="63"/>
    </row>
    <row r="310" spans="1:17" ht="14.25" customHeight="1">
      <c r="A310" s="74"/>
      <c r="B310" s="56"/>
      <c r="C310" s="56"/>
      <c r="D310" s="56"/>
      <c r="E310" s="56"/>
      <c r="F310" s="56"/>
      <c r="G310" s="56"/>
      <c r="H310" s="56"/>
      <c r="I310" s="56"/>
      <c r="J310" s="163" t="s">
        <v>163</v>
      </c>
      <c r="K310" s="284">
        <v>50</v>
      </c>
      <c r="L310" s="165">
        <v>0</v>
      </c>
      <c r="M310" s="166">
        <v>20</v>
      </c>
      <c r="N310" s="166">
        <v>5</v>
      </c>
      <c r="O310" s="166">
        <v>6</v>
      </c>
      <c r="P310" s="166">
        <v>8</v>
      </c>
      <c r="Q310" s="161"/>
    </row>
    <row r="311" spans="1:17" ht="14.25" customHeight="1">
      <c r="A311" s="74"/>
      <c r="B311" s="56"/>
      <c r="C311" s="56"/>
      <c r="D311" s="56"/>
      <c r="E311" s="56"/>
      <c r="F311" s="56"/>
      <c r="G311" s="56"/>
      <c r="H311" s="56"/>
      <c r="I311" s="56"/>
      <c r="J311" s="33" t="s">
        <v>164</v>
      </c>
      <c r="K311" s="285">
        <v>25</v>
      </c>
      <c r="L311" s="35">
        <v>0</v>
      </c>
      <c r="M311" s="36">
        <v>8</v>
      </c>
      <c r="N311" s="36">
        <v>2</v>
      </c>
      <c r="O311" s="36">
        <v>2</v>
      </c>
      <c r="P311" s="36">
        <v>4</v>
      </c>
      <c r="Q311" s="175"/>
    </row>
    <row r="312" spans="1:17" ht="15">
      <c r="A312" s="167"/>
      <c r="B312" s="168"/>
      <c r="C312" s="168"/>
      <c r="D312" s="168"/>
      <c r="E312" s="168"/>
      <c r="F312" s="168"/>
      <c r="G312" s="168"/>
      <c r="H312" s="168"/>
      <c r="I312" s="168"/>
      <c r="J312" s="9" t="s">
        <v>103</v>
      </c>
      <c r="K312" s="326">
        <f>IF(N3="Whole House",ROUND(SUM(L312:P312),0),MIN(49,ROUND(SUM(L312:P312),0)))</f>
        <v>0</v>
      </c>
      <c r="L312" s="325">
        <f>SUM($E$10:$E$306)</f>
        <v>0</v>
      </c>
      <c r="M312" s="325">
        <f>SUM($F$10:$F$306)</f>
        <v>0</v>
      </c>
      <c r="N312" s="325">
        <f>SUM($G$10:$G$306)</f>
        <v>0</v>
      </c>
      <c r="O312" s="325">
        <f>SUM($H$10:$H$306)</f>
        <v>0</v>
      </c>
      <c r="P312" s="325">
        <f>SUM($I$10:$I$306)</f>
        <v>0</v>
      </c>
      <c r="Q312" s="8"/>
    </row>
    <row r="314" ht="12.75">
      <c r="A314" s="184" t="str">
        <f>IF(AND($K$312&gt;=50,$M$312&gt;=20,$N$312&gt;=5,$O$312&gt;=6,$P$312&gt;=8,OR($B$45:$C$45),$B$53,$B$119,$B$143,$B$146,$B$150,$B$178,$B$180,$B$203,$B$244,B221,$B$251),"Project has met all recommended minimum requirements for GreenPoint Rated Whole House","Project has not yet met the recommended minimum requirements for GreenPoint Rated Whole House:")</f>
        <v>Project has not yet met the recommended minimum requirements for GreenPoint Rated Whole House:</v>
      </c>
    </row>
    <row r="315" ht="12.75">
      <c r="A315" s="37" t="str">
        <f>IF(K312&lt;50,"    - Total Project Score of At Least 50 Points","    - Total Project Score of At Least 50 Points ")</f>
        <v>    - Total Project Score of At Least 50 Points</v>
      </c>
    </row>
    <row r="316" spans="1:18" ht="12.75">
      <c r="A316" s="185" t="str">
        <f>IF(AND(OR($B$45,$C$45),$B$53,$B$119,$B$143,$B$146,$B$150,$B$178,$B$180,$B$203,B221,$B$244,$B$251),"    - Required measures: ","    - Required measures:")</f>
        <v>    - Required measures:</v>
      </c>
      <c r="K316" s="55"/>
      <c r="L316" s="55"/>
      <c r="M316" s="55"/>
      <c r="N316" s="55"/>
      <c r="O316" s="55"/>
      <c r="P316" s="55"/>
      <c r="Q316" s="67"/>
      <c r="R316" s="55"/>
    </row>
    <row r="317" ht="12.75">
      <c r="A317" s="185" t="str">
        <f>IF(AND($B$45=FALSE,C45=FALSE),"          -A2a: Divert All Cardboard, Concrete, Asphalt and Metals","          -A2a: Divert All Cardboard, Concrete, Asphalt and Metals ")</f>
        <v>          -A2a: Divert All Cardboard, Concrete, Asphalt and Metals</v>
      </c>
    </row>
    <row r="318" ht="12.75">
      <c r="A318" s="186" t="str">
        <f>IF(($B$53=FALSE),"          -B2: Moisture Source Verification and Correction","          -B2: Moisture Source Verification and Correction ")</f>
        <v>          -B2: Moisture Source Verification and Correction</v>
      </c>
    </row>
    <row r="319" ht="12.75">
      <c r="A319" s="187" t="str">
        <f>IF(($B$119=FALSE),"          -D9: Sound Exterior Assemblies","          -D9: Sound Exterior Assemblies ")</f>
        <v>          -D9: Sound Exterior Assemblies</v>
      </c>
    </row>
    <row r="320" ht="12.75">
      <c r="A320" s="188" t="str">
        <f>IF(($B$143=FALSE),"          -G3a: All Fixtures Meet Federal Energy Policy Act","          -G3a: All Fixtures Meet Federal Energy Policy Act ")</f>
        <v>          -G3a: All Fixtures Meet Federal Energy Policy Act</v>
      </c>
    </row>
    <row r="321" ht="12.75">
      <c r="A321" s="188" t="str">
        <f>IF($B$146=FALSE,"          -G4: Plumbing Survey (No Plumbing Leaks)","          -G4: Plumbing Survey (No Plumbing Leaks) ")</f>
        <v>          -G4: Plumbing Survey (No Plumbing Leaks)</v>
      </c>
    </row>
    <row r="322" ht="12.75">
      <c r="A322" s="188" t="str">
        <f>IF((B150=FALSE),"          -H1a: Visual Survey of Installation of HVAC Equipment ","          -H1a: Visual Survey of Installation of HVAC Equipment  ")</f>
        <v>          -H1a: Visual Survey of Installation of HVAC Equipment </v>
      </c>
    </row>
    <row r="323" ht="12.75">
      <c r="A323" s="188" t="str">
        <f>IF(($B$178=FALSE),"          -H12a: Carbon Monoxide Testing and Correction","          -H12a: Carbon Monoxide Testing and Correction ")</f>
        <v>          -H12a: Carbon Monoxide Testing and Correction</v>
      </c>
    </row>
    <row r="324" ht="12.75">
      <c r="A324" s="188" t="str">
        <f>IF(($B$180=FALSE),"          -H13: Combustion Safety Backdraft Test","          -H13: Combustion Safety Backdraft Test ")</f>
        <v>          -H13: Combustion Safety Backdraft Test</v>
      </c>
    </row>
    <row r="325" ht="12.75">
      <c r="A325" s="369" t="str">
        <f>IF(($B$203=FALSE),"          -J3: Meet Energy Budget for Home Based on Year","          -J3: Meet Energy Budget for Home Based on Year ")</f>
        <v>          -J3: Meet Energy Budget for Home Based on Year</v>
      </c>
    </row>
    <row r="326" spans="1:24" ht="12.75">
      <c r="A326" s="291" t="str">
        <f>IF(($B$221=FALSE),"          -K7: Meet Current CARB ATCM for Composite Wood Formaldehyde Limits","          -K7: Meet Current CARB ATCM for Composite Wood Formaldehyde Limits ")</f>
        <v>          -K7: Meet Current CARB ATCM for Composite Wood Formaldehyde Limits</v>
      </c>
      <c r="X326" s="204"/>
    </row>
    <row r="327" ht="12.75">
      <c r="A327" s="291" t="str">
        <f>IF(($B$244=FALSE),"          -M5: Electrical Survey","          -M5: Electrical Survey ")</f>
        <v>          -M5: Electrical Survey</v>
      </c>
    </row>
    <row r="328" ht="12.75">
      <c r="A328" s="188" t="str">
        <f>IF(B251=FALSE,"          -N1: Incorporate GreenPoint Checklist in Blueprints or Distribute Checklist","          -N1: Incorporate GreenPoint Checklist in Blueprints or Distribute Checklist ")</f>
        <v>          -N1: Incorporate GreenPoint Checklist in Blueprints or Distribute Checklist</v>
      </c>
    </row>
    <row r="329" ht="12.75">
      <c r="A329" s="37" t="str">
        <f>IF(OR($M$312&lt;20,$N$312&lt;5,$O$312&lt;6,$P$312&lt;8),"    - Minimum points in specific categories:","    - Minimum points in specific categories: ")</f>
        <v>    - Minimum points in specific categories:</v>
      </c>
    </row>
    <row r="330" ht="12.75">
      <c r="A330" s="37" t="str">
        <f>IF(($M$312&lt;20),"          -Energy (20 points)","          -Energy (20 points) ")</f>
        <v>          -Energy (20 points)</v>
      </c>
    </row>
    <row r="331" spans="1:23" ht="12.75">
      <c r="A331" s="37" t="str">
        <f>IF($N$312&lt;5,"          -IAQ/Health (5 points)","          -IAQ/Health (5 points) ")</f>
        <v>          -IAQ/Health (5 points)</v>
      </c>
      <c r="K331" s="189"/>
      <c r="L331" s="190"/>
      <c r="M331" s="190"/>
      <c r="N331" s="190"/>
      <c r="O331" s="190"/>
      <c r="P331" s="190"/>
      <c r="Q331" s="310"/>
      <c r="R331" s="191"/>
      <c r="S331" s="192"/>
      <c r="T331" s="192"/>
      <c r="U331" s="192"/>
      <c r="V331" s="192"/>
      <c r="W331" s="192"/>
    </row>
    <row r="332" ht="12.75">
      <c r="A332" s="37" t="str">
        <f>IF($O$312&lt;6,"          -Resources (6 points)","          -Resources (6 points) ")</f>
        <v>          -Resources (6 points)</v>
      </c>
    </row>
    <row r="333" ht="12.75">
      <c r="A333" s="37" t="str">
        <f>IF($P$312&lt;8,"          -Water (8 points)","          -Water (8 points) ")</f>
        <v>          -Water (8 points)</v>
      </c>
    </row>
    <row r="334" ht="12.75" hidden="1">
      <c r="A334" s="187"/>
    </row>
    <row r="335" spans="1:24" s="193" customFormat="1" ht="12.75" hidden="1">
      <c r="A335" s="184" t="str">
        <f>IF(AND(K312&gt;=25,M312&gt;=8,N312&gt;=2,O312&gt;=2,P312&gt;=4,OR(B45,C45),B146,B150,B180,OR(203,B186),B221,B251),"Project has met all recommended minimum requirements for GreenPoint Rated Elements","Project has not yet met the recommended minimum requirements for GreenPoint Rated Elements:")</f>
        <v>Project has not yet met the recommended minimum requirements for GreenPoint Rated Elements:</v>
      </c>
      <c r="E335" s="194"/>
      <c r="F335" s="194"/>
      <c r="G335" s="194"/>
      <c r="H335" s="194"/>
      <c r="I335" s="194"/>
      <c r="J335" s="195"/>
      <c r="K335" s="196"/>
      <c r="L335" s="197"/>
      <c r="M335" s="197"/>
      <c r="N335" s="197"/>
      <c r="O335" s="197"/>
      <c r="P335" s="197"/>
      <c r="Q335" s="311"/>
      <c r="R335" s="198"/>
      <c r="S335" s="199"/>
      <c r="X335" s="213"/>
    </row>
    <row r="336" spans="1:24" s="193" customFormat="1" ht="12.75" hidden="1">
      <c r="A336" s="37" t="str">
        <f>IF($K$312&lt;25,"    - Total Project Score of At Least 25 Points","    - Total Project Score of At Least 25 Points ")</f>
        <v>    - Total Project Score of At Least 25 Points</v>
      </c>
      <c r="E336" s="194"/>
      <c r="F336" s="194"/>
      <c r="G336" s="194"/>
      <c r="H336" s="194"/>
      <c r="I336" s="194"/>
      <c r="J336" s="195"/>
      <c r="K336" s="196"/>
      <c r="L336" s="196"/>
      <c r="M336" s="197"/>
      <c r="N336" s="197"/>
      <c r="O336" s="197"/>
      <c r="P336" s="197"/>
      <c r="Q336" s="311"/>
      <c r="R336" s="197"/>
      <c r="S336" s="198"/>
      <c r="T336" s="199"/>
      <c r="X336" s="213"/>
    </row>
    <row r="337" spans="1:24" s="193" customFormat="1" ht="12.75" hidden="1">
      <c r="A337" s="185" t="str">
        <f>IF(AND(OR(B45,C45),B146,B150,B180,OR(B203,B186),B221,B251),"    - Required measures: ","    - Required measures:")</f>
        <v>    - Required measures:</v>
      </c>
      <c r="E337" s="194"/>
      <c r="F337" s="194"/>
      <c r="G337" s="194"/>
      <c r="H337" s="194"/>
      <c r="I337" s="194"/>
      <c r="J337" s="195"/>
      <c r="K337" s="196"/>
      <c r="L337" s="197"/>
      <c r="M337" s="197"/>
      <c r="N337" s="197"/>
      <c r="O337" s="197"/>
      <c r="P337" s="197"/>
      <c r="Q337" s="311"/>
      <c r="R337" s="198"/>
      <c r="S337" s="200"/>
      <c r="T337" s="198"/>
      <c r="U337" s="198"/>
      <c r="V337" s="198"/>
      <c r="W337" s="198"/>
      <c r="X337" s="214"/>
    </row>
    <row r="338" spans="1:24" s="193" customFormat="1" ht="12.75" hidden="1">
      <c r="A338" s="185" t="str">
        <f>IF(AND(C45=FALSE,$B$45=FALSE),"          -A2a: Divert All Cardboard, Concrete and Metals","          -A2a: Divert All Cardboard, Concrete and Metals ")</f>
        <v>          -A2a: Divert All Cardboard, Concrete and Metals</v>
      </c>
      <c r="E338" s="194"/>
      <c r="F338" s="194"/>
      <c r="G338" s="194"/>
      <c r="H338" s="194"/>
      <c r="I338" s="194"/>
      <c r="J338" s="195"/>
      <c r="K338" s="196"/>
      <c r="L338" s="197"/>
      <c r="M338" s="197"/>
      <c r="N338" s="197"/>
      <c r="O338" s="197"/>
      <c r="P338" s="197"/>
      <c r="Q338" s="311"/>
      <c r="R338" s="198"/>
      <c r="S338" s="200"/>
      <c r="T338" s="198"/>
      <c r="U338" s="198"/>
      <c r="V338" s="198"/>
      <c r="W338" s="198"/>
      <c r="X338" s="214"/>
    </row>
    <row r="339" spans="1:24" s="193" customFormat="1" ht="12.75" hidden="1">
      <c r="A339" s="188" t="str">
        <f>IF($B$146=FALSE,"          -G4: Plumbing Survey (No Plumbing Leaks)","          -G4: Plumbing Survey (No Plumbing Leaks) ")</f>
        <v>          -G4: Plumbing Survey (No Plumbing Leaks)</v>
      </c>
      <c r="E339" s="194"/>
      <c r="F339" s="194"/>
      <c r="G339" s="194"/>
      <c r="H339" s="194"/>
      <c r="I339" s="194"/>
      <c r="J339" s="195"/>
      <c r="K339" s="196"/>
      <c r="L339" s="197"/>
      <c r="M339" s="196"/>
      <c r="N339" s="197"/>
      <c r="O339" s="197"/>
      <c r="P339" s="197"/>
      <c r="Q339" s="311"/>
      <c r="R339" s="197"/>
      <c r="S339" s="197"/>
      <c r="T339" s="198"/>
      <c r="U339" s="199"/>
      <c r="X339" s="213"/>
    </row>
    <row r="340" spans="1:24" s="193" customFormat="1" ht="12.75" hidden="1">
      <c r="A340" s="188" t="str">
        <f>IF((B150=FALSE),"          -H1a: Visual Survey of Installation of HVAC Equipment ","          -H1a: Visual Survey of Installation of HVAC Equipment  ")</f>
        <v>          -H1a: Visual Survey of Installation of HVAC Equipment </v>
      </c>
      <c r="E340" s="194"/>
      <c r="F340" s="194"/>
      <c r="G340" s="194"/>
      <c r="H340" s="194"/>
      <c r="I340" s="194"/>
      <c r="J340" s="195"/>
      <c r="K340" s="196"/>
      <c r="L340" s="197"/>
      <c r="M340" s="196"/>
      <c r="N340" s="197"/>
      <c r="O340" s="197"/>
      <c r="P340" s="197"/>
      <c r="Q340" s="311"/>
      <c r="R340" s="197"/>
      <c r="S340" s="197"/>
      <c r="T340" s="198"/>
      <c r="U340" s="199"/>
      <c r="X340" s="213"/>
    </row>
    <row r="341" ht="12.75" hidden="1">
      <c r="A341" s="188" t="str">
        <f>IF(($B$180=FALSE),"          -H13: Combustion Safety Backdraft Test","          -H13: Combustion Safety Backdraft Test ")</f>
        <v>          -H13: Combustion Safety Backdraft Test</v>
      </c>
    </row>
    <row r="342" spans="1:24" s="193" customFormat="1" ht="12.75" hidden="1">
      <c r="A342" s="363" t="str">
        <f>IF(AND(B203=FALSE,B186=FALSE),"          -J1:  Energy Survey and Education OR J3: Meet Energy Budget for Home Based on Year","          -J1:  Energy Survey and Education OR J3: Meet Energy Budget for Home Based on Year ")</f>
        <v>          -J1:  Energy Survey and Education OR J3: Meet Energy Budget for Home Based on Year</v>
      </c>
      <c r="E342" s="194"/>
      <c r="F342" s="194"/>
      <c r="G342" s="194"/>
      <c r="H342" s="194"/>
      <c r="I342" s="194"/>
      <c r="J342" s="195"/>
      <c r="K342" s="196"/>
      <c r="L342" s="197"/>
      <c r="M342" s="197"/>
      <c r="N342" s="197"/>
      <c r="O342" s="197"/>
      <c r="P342" s="197"/>
      <c r="Q342" s="311"/>
      <c r="R342" s="198"/>
      <c r="S342" s="199"/>
      <c r="X342" s="213"/>
    </row>
    <row r="343" spans="1:24" ht="12.75" hidden="1">
      <c r="A343" s="291" t="str">
        <f>IF(($B$221=FALSE),"          -K7: Meet Current CARB ATCM for Composite Wood Formaldehyde Limits","          -K7: Meet Current CARB ATCM for Composite Wood Formaldehyde Limits ")</f>
        <v>          -K7: Meet Current CARB ATCM for Composite Wood Formaldehyde Limits</v>
      </c>
      <c r="X343" s="204"/>
    </row>
    <row r="344" spans="1:24" s="193" customFormat="1" ht="12.75" hidden="1">
      <c r="A344" s="188" t="str">
        <f>IF(B251=FALSE,"          -N1: Incorporate GreenPoint Checklist in Blueprints or Distribute Checklist","          -N1: Incorporate GreenPoint Checklist in Blueprints or Distribute Checklist ")</f>
        <v>          -N1: Incorporate GreenPoint Checklist in Blueprints or Distribute Checklist</v>
      </c>
      <c r="E344" s="194"/>
      <c r="F344" s="194"/>
      <c r="G344" s="194"/>
      <c r="H344" s="194"/>
      <c r="I344" s="194"/>
      <c r="J344" s="195"/>
      <c r="K344" s="196"/>
      <c r="L344" s="197"/>
      <c r="M344" s="197"/>
      <c r="N344" s="197"/>
      <c r="O344" s="197"/>
      <c r="P344" s="197"/>
      <c r="Q344" s="311"/>
      <c r="R344" s="198"/>
      <c r="S344" s="199"/>
      <c r="X344" s="213"/>
    </row>
    <row r="345" spans="1:24" s="193" customFormat="1" ht="12.75" hidden="1">
      <c r="A345" s="37" t="str">
        <f>IF(OR(M312&lt;8,N312&lt;2,O312&lt;2,P312&lt;4),"    - Minimum points in specific categories:","    - Minimum points in specific categories: ")</f>
        <v>    - Minimum points in specific categories:</v>
      </c>
      <c r="E345" s="194"/>
      <c r="F345" s="194"/>
      <c r="G345" s="194"/>
      <c r="H345" s="194"/>
      <c r="I345" s="194"/>
      <c r="J345" s="195"/>
      <c r="K345" s="196"/>
      <c r="L345" s="197"/>
      <c r="M345" s="197"/>
      <c r="N345" s="197"/>
      <c r="O345" s="197"/>
      <c r="P345" s="197"/>
      <c r="Q345" s="311"/>
      <c r="R345" s="198"/>
      <c r="S345" s="199"/>
      <c r="X345" s="213"/>
    </row>
    <row r="346" spans="1:24" s="193" customFormat="1" ht="12.75" hidden="1">
      <c r="A346" s="37" t="str">
        <f>IF((M312&lt;8),"          -Energy (8 points)","          -Energy (8 points) ")</f>
        <v>          -Energy (8 points)</v>
      </c>
      <c r="E346" s="194"/>
      <c r="F346" s="194"/>
      <c r="G346" s="194"/>
      <c r="H346" s="194"/>
      <c r="I346" s="194"/>
      <c r="J346" s="195"/>
      <c r="K346" s="196"/>
      <c r="L346" s="197"/>
      <c r="M346" s="197"/>
      <c r="N346" s="197"/>
      <c r="O346" s="197"/>
      <c r="P346" s="197"/>
      <c r="Q346" s="311"/>
      <c r="R346" s="198"/>
      <c r="S346" s="199"/>
      <c r="X346" s="213"/>
    </row>
    <row r="347" spans="1:24" s="193" customFormat="1" ht="12.75" hidden="1">
      <c r="A347" s="37" t="str">
        <f>IF(N312&lt;2,"          -IAQ/Health (2 points)","          -IAQ/Health (2 points) ")</f>
        <v>          -IAQ/Health (2 points)</v>
      </c>
      <c r="E347" s="194"/>
      <c r="F347" s="194"/>
      <c r="G347" s="194"/>
      <c r="H347" s="194"/>
      <c r="I347" s="194"/>
      <c r="J347" s="195"/>
      <c r="K347" s="196"/>
      <c r="L347" s="197"/>
      <c r="M347" s="197"/>
      <c r="N347" s="197"/>
      <c r="O347" s="197"/>
      <c r="P347" s="197"/>
      <c r="Q347" s="311"/>
      <c r="R347" s="198"/>
      <c r="S347" s="199"/>
      <c r="X347" s="213"/>
    </row>
    <row r="348" spans="1:24" s="193" customFormat="1" ht="12.75" hidden="1">
      <c r="A348" s="37" t="str">
        <f>IF(O312&lt;2,"          -Resources (2 points)","          -Resources (2 points) ")</f>
        <v>          -Resources (2 points)</v>
      </c>
      <c r="E348" s="194"/>
      <c r="F348" s="194"/>
      <c r="G348" s="194"/>
      <c r="H348" s="194"/>
      <c r="I348" s="194"/>
      <c r="J348" s="195"/>
      <c r="K348" s="196"/>
      <c r="L348" s="197"/>
      <c r="M348" s="197"/>
      <c r="N348" s="197"/>
      <c r="O348" s="197"/>
      <c r="P348" s="197"/>
      <c r="Q348" s="311"/>
      <c r="R348" s="198"/>
      <c r="S348" s="199"/>
      <c r="X348" s="213"/>
    </row>
    <row r="349" spans="1:24" s="193" customFormat="1" ht="12.75" hidden="1">
      <c r="A349" s="37" t="str">
        <f>IF(P312&lt;4,"          -Water (4 points)","          -Water (4 points) ")</f>
        <v>          -Water (4 points)</v>
      </c>
      <c r="E349" s="194"/>
      <c r="F349" s="194"/>
      <c r="G349" s="194"/>
      <c r="H349" s="194"/>
      <c r="I349" s="194"/>
      <c r="J349" s="195"/>
      <c r="K349" s="196"/>
      <c r="L349" s="197"/>
      <c r="M349" s="197"/>
      <c r="N349" s="197"/>
      <c r="O349" s="197"/>
      <c r="P349" s="197"/>
      <c r="Q349" s="311"/>
      <c r="R349" s="198"/>
      <c r="S349" s="199"/>
      <c r="X349" s="213"/>
    </row>
    <row r="350" spans="1:24" s="193" customFormat="1" ht="12.75" hidden="1">
      <c r="A350" s="37"/>
      <c r="E350" s="194"/>
      <c r="F350" s="194"/>
      <c r="G350" s="194"/>
      <c r="H350" s="194"/>
      <c r="I350" s="194"/>
      <c r="J350" s="195"/>
      <c r="K350" s="196"/>
      <c r="L350" s="197"/>
      <c r="M350" s="197"/>
      <c r="N350" s="197"/>
      <c r="O350" s="197"/>
      <c r="P350" s="197"/>
      <c r="Q350" s="311"/>
      <c r="R350" s="198"/>
      <c r="S350" s="199"/>
      <c r="X350" s="213"/>
    </row>
    <row r="351" spans="1:14" ht="17.25" hidden="1">
      <c r="A351" s="318"/>
      <c r="B351" s="56"/>
      <c r="C351" s="56"/>
      <c r="D351" s="56"/>
      <c r="E351" s="56"/>
      <c r="F351" s="56"/>
      <c r="G351" s="56"/>
      <c r="H351" s="56"/>
      <c r="I351" s="56"/>
      <c r="K351" s="169"/>
      <c r="L351" s="313"/>
      <c r="M351" s="313"/>
      <c r="N351" s="313"/>
    </row>
    <row r="352" spans="1:14" ht="12.75" hidden="1">
      <c r="A352" s="319"/>
      <c r="B352" s="56"/>
      <c r="C352" s="56"/>
      <c r="D352" s="56"/>
      <c r="E352" s="56"/>
      <c r="F352" s="56"/>
      <c r="G352" s="56"/>
      <c r="H352" s="56"/>
      <c r="I352" s="56"/>
      <c r="K352" s="169"/>
      <c r="L352" s="313"/>
      <c r="M352" s="313"/>
      <c r="N352" s="313"/>
    </row>
    <row r="353" spans="1:14" ht="12.75" hidden="1">
      <c r="A353" s="319"/>
      <c r="B353" s="56"/>
      <c r="C353" s="56"/>
      <c r="D353" s="56"/>
      <c r="E353" s="56"/>
      <c r="F353" s="56"/>
      <c r="G353" s="56"/>
      <c r="H353" s="56"/>
      <c r="I353" s="56"/>
      <c r="K353" s="169"/>
      <c r="L353" s="313"/>
      <c r="M353" s="313"/>
      <c r="N353" s="313"/>
    </row>
    <row r="354" spans="1:14" ht="12.75" hidden="1">
      <c r="A354" s="169"/>
      <c r="B354" s="56"/>
      <c r="C354" s="56"/>
      <c r="D354" s="56"/>
      <c r="E354" s="56"/>
      <c r="F354" s="56"/>
      <c r="G354" s="56"/>
      <c r="H354" s="56"/>
      <c r="I354" s="56"/>
      <c r="K354" s="169"/>
      <c r="L354" s="313"/>
      <c r="M354" s="313"/>
      <c r="N354" s="313"/>
    </row>
    <row r="355" spans="1:14" ht="12.75" hidden="1">
      <c r="A355" s="37"/>
      <c r="B355" s="56"/>
      <c r="C355" s="56"/>
      <c r="D355" s="56"/>
      <c r="E355" s="56"/>
      <c r="F355" s="56"/>
      <c r="G355" s="56"/>
      <c r="H355" s="56"/>
      <c r="I355" s="56"/>
      <c r="K355" s="169"/>
      <c r="L355" s="313"/>
      <c r="M355" s="313"/>
      <c r="N355" s="313"/>
    </row>
    <row r="356" spans="1:14" ht="12.75" hidden="1">
      <c r="A356" s="320"/>
      <c r="B356" s="56"/>
      <c r="C356" s="56"/>
      <c r="D356" s="56"/>
      <c r="E356" s="56"/>
      <c r="F356" s="56"/>
      <c r="G356" s="56"/>
      <c r="H356" s="56"/>
      <c r="I356" s="56"/>
      <c r="K356" s="169"/>
      <c r="L356" s="313"/>
      <c r="M356" s="313"/>
      <c r="N356" s="313"/>
    </row>
    <row r="357" spans="1:24" s="54" customFormat="1" ht="12.75" hidden="1">
      <c r="A357" s="321"/>
      <c r="B357" s="314"/>
      <c r="C357" s="314"/>
      <c r="D357" s="314"/>
      <c r="E357" s="314"/>
      <c r="F357" s="314"/>
      <c r="G357" s="314"/>
      <c r="H357" s="314"/>
      <c r="I357" s="314"/>
      <c r="J357" s="314"/>
      <c r="K357" s="169"/>
      <c r="L357" s="315"/>
      <c r="M357" s="315"/>
      <c r="N357" s="315"/>
      <c r="O357" s="172"/>
      <c r="P357" s="172"/>
      <c r="Q357" s="312"/>
      <c r="X357" s="206"/>
    </row>
    <row r="358" spans="1:24" s="54" customFormat="1" ht="12.75" hidden="1">
      <c r="A358" s="321" t="s">
        <v>116</v>
      </c>
      <c r="B358" s="314"/>
      <c r="C358" s="314"/>
      <c r="D358" s="314"/>
      <c r="E358" s="314"/>
      <c r="F358" s="314"/>
      <c r="G358" s="314"/>
      <c r="H358" s="314"/>
      <c r="I358" s="314"/>
      <c r="J358" s="169"/>
      <c r="K358" s="169"/>
      <c r="L358" s="315"/>
      <c r="M358" s="315"/>
      <c r="N358" s="315"/>
      <c r="O358" s="172"/>
      <c r="P358" s="172"/>
      <c r="Q358" s="312"/>
      <c r="X358" s="206"/>
    </row>
    <row r="359" spans="1:14" ht="12.75" hidden="1">
      <c r="A359" s="56"/>
      <c r="B359" s="56"/>
      <c r="C359" s="56"/>
      <c r="D359" s="56"/>
      <c r="E359" s="56"/>
      <c r="F359" s="56"/>
      <c r="G359" s="56"/>
      <c r="H359" s="56"/>
      <c r="I359" s="56"/>
      <c r="K359" s="169"/>
      <c r="L359" s="313"/>
      <c r="M359" s="313"/>
      <c r="N359" s="313"/>
    </row>
    <row r="360" spans="1:14" ht="12.75" hidden="1">
      <c r="A360" s="56"/>
      <c r="B360" s="56"/>
      <c r="C360" s="56"/>
      <c r="D360" s="56"/>
      <c r="E360" s="56"/>
      <c r="F360" s="56"/>
      <c r="G360" s="56"/>
      <c r="H360" s="56"/>
      <c r="I360" s="56"/>
      <c r="K360" s="169"/>
      <c r="L360" s="313"/>
      <c r="M360" s="313"/>
      <c r="N360" s="313"/>
    </row>
    <row r="361" ht="12.75" hidden="1"/>
    <row r="362" ht="12.75" hidden="1"/>
    <row r="363" ht="12.75" hidden="1"/>
    <row r="364" ht="12.75" hidden="1"/>
    <row r="365" ht="12.75" hidden="1"/>
    <row r="366" ht="12.75" hidden="1"/>
    <row r="367" ht="12.75" hidden="1"/>
  </sheetData>
  <sheetProtection password="CA99" sheet="1" objects="1" scenarios="1"/>
  <mergeCells count="23">
    <mergeCell ref="L258:P258"/>
    <mergeCell ref="L250:P250"/>
    <mergeCell ref="L182:P182"/>
    <mergeCell ref="L185:P185"/>
    <mergeCell ref="L233:P233"/>
    <mergeCell ref="L136:P136"/>
    <mergeCell ref="L148:P148"/>
    <mergeCell ref="L207:P207"/>
    <mergeCell ref="L228:P228"/>
    <mergeCell ref="L127:P127"/>
    <mergeCell ref="A8:J8"/>
    <mergeCell ref="L89:P89"/>
    <mergeCell ref="L9:P9"/>
    <mergeCell ref="L42:P42"/>
    <mergeCell ref="L49:P49"/>
    <mergeCell ref="L63:P63"/>
    <mergeCell ref="L121:P121"/>
    <mergeCell ref="N4:P4"/>
    <mergeCell ref="N5:P5"/>
    <mergeCell ref="A2:J7"/>
    <mergeCell ref="N3:P3"/>
    <mergeCell ref="K3:M3"/>
    <mergeCell ref="K5:M5"/>
  </mergeCells>
  <conditionalFormatting sqref="A352 A345 A350 A329">
    <cfRule type="cellIs" priority="32" dxfId="3" operator="equal" stopIfTrue="1">
      <formula>"    - Minimum points in specific categories:"</formula>
    </cfRule>
    <cfRule type="cellIs" priority="33" dxfId="2" operator="equal" stopIfTrue="1">
      <formula>"    - Minimum points in specific categories: "</formula>
    </cfRule>
  </conditionalFormatting>
  <conditionalFormatting sqref="A353">
    <cfRule type="cellIs" priority="34" dxfId="3" operator="equal" stopIfTrue="1">
      <formula>"          -Energy (30 points)"</formula>
    </cfRule>
    <cfRule type="cellIs" priority="35" dxfId="2" operator="equal" stopIfTrue="1">
      <formula>"          -Energy (30 points) "</formula>
    </cfRule>
  </conditionalFormatting>
  <conditionalFormatting sqref="A355 A332">
    <cfRule type="cellIs" priority="38" dxfId="3" operator="equal" stopIfTrue="1">
      <formula>"          -Resources (6 points)"</formula>
    </cfRule>
    <cfRule type="cellIs" priority="39" dxfId="2" operator="equal" stopIfTrue="1">
      <formula>"          -Resources (6 points) "</formula>
    </cfRule>
  </conditionalFormatting>
  <conditionalFormatting sqref="A351">
    <cfRule type="cellIs" priority="48" dxfId="3" operator="equal" stopIfTrue="1">
      <formula>"          -N1: Incorporate GreenPoint Checklist in Blueprints and Planning"</formula>
    </cfRule>
    <cfRule type="cellIs" priority="49" dxfId="2" operator="equal" stopIfTrue="1">
      <formula>"          -N1: Incorporate GreenPoint Checklist in Blueprints and Planning "</formula>
    </cfRule>
  </conditionalFormatting>
  <conditionalFormatting sqref="A331">
    <cfRule type="cellIs" priority="36" dxfId="3" operator="equal" stopIfTrue="1">
      <formula>"          -IAQ/Health (5 points)"</formula>
    </cfRule>
    <cfRule type="cellIs" priority="37" dxfId="2" operator="equal" stopIfTrue="1">
      <formula>"          -IAQ/Health (5 points) "</formula>
    </cfRule>
  </conditionalFormatting>
  <conditionalFormatting sqref="A315">
    <cfRule type="cellIs" priority="42" dxfId="3" operator="equal" stopIfTrue="1">
      <formula>"    - Total Project Score of At Least 50 Points"</formula>
    </cfRule>
    <cfRule type="cellIs" priority="43" dxfId="2" operator="equal" stopIfTrue="1">
      <formula>"    - Total Project Score of At Least 50 Points "</formula>
    </cfRule>
  </conditionalFormatting>
  <conditionalFormatting sqref="A337 A316">
    <cfRule type="cellIs" priority="44" dxfId="2" operator="equal" stopIfTrue="1">
      <formula>"    - Required measures: "</formula>
    </cfRule>
    <cfRule type="cellIs" priority="45" dxfId="3" operator="equal" stopIfTrue="1">
      <formula>"    - Required measures:"</formula>
    </cfRule>
  </conditionalFormatting>
  <conditionalFormatting sqref="A320">
    <cfRule type="cellIs" priority="52" dxfId="3" operator="equal" stopIfTrue="1">
      <formula>"          -G3a: All Fixtures Meet Federal Energy Policy Act"</formula>
    </cfRule>
    <cfRule type="cellIs" priority="53" dxfId="2" operator="equal" stopIfTrue="1">
      <formula>"          -G3a: All Fixtures Meet Federal Energy Policy Act "</formula>
    </cfRule>
  </conditionalFormatting>
  <conditionalFormatting sqref="A319">
    <cfRule type="cellIs" priority="62" dxfId="3" operator="equal" stopIfTrue="1">
      <formula>"          -D9: Sound Exterior Assemblies"</formula>
    </cfRule>
    <cfRule type="cellIs" priority="63" dxfId="2" operator="equal" stopIfTrue="1">
      <formula>"          -D9: Sound Exterior Assemblies "</formula>
    </cfRule>
  </conditionalFormatting>
  <conditionalFormatting sqref="A323">
    <cfRule type="cellIs" priority="66" dxfId="3" operator="equal" stopIfTrue="1">
      <formula>"          -H12a: Carbon Monoxide Testing and Correction"</formula>
    </cfRule>
    <cfRule type="cellIs" priority="67" dxfId="2" operator="equal" stopIfTrue="1">
      <formula>"          -H12a: Carbon Monoxide Testing and Correction "</formula>
    </cfRule>
  </conditionalFormatting>
  <conditionalFormatting sqref="A330">
    <cfRule type="cellIs" priority="72" dxfId="3" operator="equal" stopIfTrue="1">
      <formula>"          -Energy (20 points)"</formula>
    </cfRule>
    <cfRule type="cellIs" priority="73" dxfId="2" operator="equal" stopIfTrue="1">
      <formula>"          -Energy (20 points) "</formula>
    </cfRule>
  </conditionalFormatting>
  <conditionalFormatting sqref="A333">
    <cfRule type="cellIs" priority="74" dxfId="3" operator="equal" stopIfTrue="1">
      <formula>"          -Water (8 points)"</formula>
    </cfRule>
    <cfRule type="cellIs" priority="75" dxfId="2" operator="equal" stopIfTrue="1">
      <formula>"          -Water (8 points) "</formula>
    </cfRule>
  </conditionalFormatting>
  <conditionalFormatting sqref="A346">
    <cfRule type="cellIs" priority="78" dxfId="3" operator="equal" stopIfTrue="1">
      <formula>"          -Energy (8 points)"</formula>
    </cfRule>
    <cfRule type="cellIs" priority="79" dxfId="2" operator="equal" stopIfTrue="1">
      <formula>"          -Energy (8 points) "</formula>
    </cfRule>
  </conditionalFormatting>
  <conditionalFormatting sqref="A347">
    <cfRule type="cellIs" priority="80" dxfId="3" operator="equal" stopIfTrue="1">
      <formula>"          -IAQ/Health (2 points)"</formula>
    </cfRule>
    <cfRule type="cellIs" priority="81" dxfId="2" operator="equal" stopIfTrue="1">
      <formula>"          -IAQ/Health (2 points) "</formula>
    </cfRule>
  </conditionalFormatting>
  <conditionalFormatting sqref="A348">
    <cfRule type="cellIs" priority="82" dxfId="3" operator="equal" stopIfTrue="1">
      <formula>"          -Resources (2 points)"</formula>
    </cfRule>
    <cfRule type="cellIs" priority="83" dxfId="2" operator="equal" stopIfTrue="1">
      <formula>"          -Resources (2 points) "</formula>
    </cfRule>
  </conditionalFormatting>
  <conditionalFormatting sqref="A349">
    <cfRule type="cellIs" priority="84" dxfId="3" operator="equal" stopIfTrue="1">
      <formula>"          -Water (4 points)"</formula>
    </cfRule>
    <cfRule type="cellIs" priority="85" dxfId="2" operator="equal" stopIfTrue="1">
      <formula>"          -Water (4 points) "</formula>
    </cfRule>
  </conditionalFormatting>
  <conditionalFormatting sqref="A324 A341">
    <cfRule type="cellIs" priority="97" dxfId="3" operator="equal" stopIfTrue="1">
      <formula>"          -H13: Combustion Safety Backdraft Test"</formula>
    </cfRule>
    <cfRule type="cellIs" priority="98" dxfId="2" operator="equal" stopIfTrue="1">
      <formula>"          -H13: Combustion Safety Backdraft Test "</formula>
    </cfRule>
  </conditionalFormatting>
  <conditionalFormatting sqref="A334">
    <cfRule type="cellIs" priority="46" dxfId="2" operator="equal" stopIfTrue="1">
      <formula>"    -Maximum 20 points pursued under Community Design and Planning "</formula>
    </cfRule>
    <cfRule type="cellIs" priority="47" dxfId="3" operator="equal" stopIfTrue="1">
      <formula>"    -Maximum 20 points pursued under Community Design and Planning"</formula>
    </cfRule>
  </conditionalFormatting>
  <conditionalFormatting sqref="A335">
    <cfRule type="cellIs" priority="60" dxfId="40" operator="equal" stopIfTrue="1">
      <formula>"Project has met all recommended minimum requirements for GreenPoint Rated Elements"</formula>
    </cfRule>
    <cfRule type="cellIs" priority="61" dxfId="3" operator="equal" stopIfTrue="1">
      <formula>"Project has not yet met the recommended minimum requirements for GreenPoint Rated Elements:"</formula>
    </cfRule>
  </conditionalFormatting>
  <conditionalFormatting sqref="A336">
    <cfRule type="cellIs" priority="76" dxfId="3" operator="equal" stopIfTrue="1">
      <formula>"    - Total Project Score of At Least 25 Points"</formula>
    </cfRule>
    <cfRule type="cellIs" priority="77" dxfId="2" operator="equal" stopIfTrue="1">
      <formula>"    - Total Project Score of At Least 25 Points "</formula>
    </cfRule>
  </conditionalFormatting>
  <conditionalFormatting sqref="A314">
    <cfRule type="cellIs" priority="94" dxfId="40" operator="equal" stopIfTrue="1">
      <formula>"Project has met all recommended minimum requirements for GreenPoint Rated Whole House"</formula>
    </cfRule>
    <cfRule type="cellIs" priority="95" dxfId="3" operator="equal" stopIfTrue="1">
      <formula>"Project has not yet met the recommended minimum requirements for GreenPoint Rated Whole House:"</formula>
    </cfRule>
  </conditionalFormatting>
  <conditionalFormatting sqref="A338">
    <cfRule type="cellIs" priority="150" dxfId="3" operator="equal" stopIfTrue="1">
      <formula>"          -A2a: Divert All Cardboard, Concrete and Metals"</formula>
    </cfRule>
    <cfRule type="cellIs" priority="151" dxfId="2" operator="equal" stopIfTrue="1">
      <formula>"          -A2a: Divert All Cardboard, Concrete and Metals "</formula>
    </cfRule>
  </conditionalFormatting>
  <conditionalFormatting sqref="A322 A340">
    <cfRule type="cellIs" priority="152" dxfId="3" operator="equal" stopIfTrue="1">
      <formula>"          -H1a: Visual Survey of Installation of HVAC Equipment "</formula>
    </cfRule>
    <cfRule type="cellIs" priority="153" dxfId="2" operator="equal" stopIfTrue="1">
      <formula>"          -H1a: Visual Survey of Installation of HVAC Equipment  "</formula>
    </cfRule>
  </conditionalFormatting>
  <conditionalFormatting sqref="A344 A328">
    <cfRule type="cellIs" priority="154" dxfId="3" operator="equal" stopIfTrue="1">
      <formula>"          -N1: Incorporate GreenPoint Checklist in Blueprints or Distribute Checklist"</formula>
    </cfRule>
    <cfRule type="cellIs" priority="155" dxfId="2" operator="equal" stopIfTrue="1">
      <formula>"          -N1: Incorporate GreenPoint Checklist in Blueprints or Distribute Checklist "</formula>
    </cfRule>
  </conditionalFormatting>
  <conditionalFormatting sqref="A318">
    <cfRule type="cellIs" priority="156" dxfId="3" operator="equal" stopIfTrue="1">
      <formula>"          -B2: Moisture Source Verification and Correction"</formula>
    </cfRule>
    <cfRule type="cellIs" priority="157" dxfId="2" operator="equal" stopIfTrue="1">
      <formula>"          -B2: Moisture Source Verification and Correction "</formula>
    </cfRule>
  </conditionalFormatting>
  <conditionalFormatting sqref="A327">
    <cfRule type="cellIs" priority="162" dxfId="3" operator="equal" stopIfTrue="1">
      <formula>"          -M5: Electrical Survey"</formula>
    </cfRule>
    <cfRule type="cellIs" priority="163" dxfId="2" operator="equal" stopIfTrue="1">
      <formula>"          -M5: Electrical Survey "</formula>
    </cfRule>
  </conditionalFormatting>
  <conditionalFormatting sqref="A342:A343">
    <cfRule type="cellIs" priority="164" dxfId="3" operator="equal" stopIfTrue="1">
      <formula>"          -J1:  Energy Survey and Education OR J3: Meet Energy Budget for Home Based on Year"</formula>
    </cfRule>
    <cfRule type="cellIs" priority="165" dxfId="2" operator="equal" stopIfTrue="1">
      <formula>"          -J1:  Energy Survey and Education OR J3: Meet Energy Budget for Home Based on Year "</formula>
    </cfRule>
  </conditionalFormatting>
  <conditionalFormatting sqref="J53">
    <cfRule type="cellIs" priority="96" dxfId="0" operator="equal" stopIfTrue="1">
      <formula>"2. Moisture Source Inspection and Correction"</formula>
    </cfRule>
  </conditionalFormatting>
  <conditionalFormatting sqref="A317">
    <cfRule type="cellIs" priority="221" dxfId="3" operator="equal" stopIfTrue="1">
      <formula>"          -A2a: Divert All Cardboard, Concrete, Asphalt and Metals"</formula>
    </cfRule>
    <cfRule type="cellIs" priority="222" dxfId="2" operator="equal" stopIfTrue="1">
      <formula>"          -A2a: Divert All Cardboard, Concrete, Asphalt and Metals "</formula>
    </cfRule>
  </conditionalFormatting>
  <conditionalFormatting sqref="A321 A339">
    <cfRule type="cellIs" priority="223" dxfId="3" operator="equal" stopIfTrue="1">
      <formula>"          -G4: Plumbing Survey (No Plumbing Leaks)"</formula>
    </cfRule>
    <cfRule type="cellIs" priority="224" dxfId="2" operator="equal" stopIfTrue="1">
      <formula>"          -G4: Plumbing Survey (No Plumbing Leaks) "</formula>
    </cfRule>
  </conditionalFormatting>
  <conditionalFormatting sqref="A325:A326">
    <cfRule type="cellIs" priority="225" dxfId="3" operator="equal" stopIfTrue="1">
      <formula>"          -J3: Meet Energy Budget for Home Based on Year"</formula>
    </cfRule>
    <cfRule type="cellIs" priority="226" dxfId="2" operator="equal" stopIfTrue="1">
      <formula>"          -J3: Meet Energy Budget for Home Based on Year "</formula>
    </cfRule>
  </conditionalFormatting>
  <conditionalFormatting sqref="K45 K53 K119 K143 K146 K150 K178 K180 K186 K251">
    <cfRule type="cellIs" priority="30" dxfId="0" operator="equal" stopIfTrue="1">
      <formula>"N"</formula>
    </cfRule>
  </conditionalFormatting>
  <conditionalFormatting sqref="K203">
    <cfRule type="cellIs" priority="21" dxfId="18" operator="greaterThanOrEqual" stopIfTrue="1">
      <formula>30</formula>
    </cfRule>
  </conditionalFormatting>
  <conditionalFormatting sqref="A326">
    <cfRule type="cellIs" priority="17" dxfId="3" operator="equal" stopIfTrue="1">
      <formula>"          -M5: Electrical Survey"</formula>
    </cfRule>
    <cfRule type="cellIs" priority="18" dxfId="2" operator="equal" stopIfTrue="1">
      <formula>"          -M5: Electrical Survey "</formula>
    </cfRule>
  </conditionalFormatting>
  <conditionalFormatting sqref="A326">
    <cfRule type="cellIs" priority="15" dxfId="3" operator="equal" stopIfTrue="1">
      <formula>"          -J3: Meet Energy Budget for Home Based on Year"</formula>
    </cfRule>
    <cfRule type="cellIs" priority="16" dxfId="2" operator="equal" stopIfTrue="1">
      <formula>"          -J3: Meet Energy Budget for Home Based on Year "</formula>
    </cfRule>
  </conditionalFormatting>
  <conditionalFormatting sqref="A326">
    <cfRule type="cellIs" priority="12" dxfId="0" operator="equal" stopIfTrue="1">
      <formula>"          -K7: Meet Current CARB ATCM for Composite Wood Formaldehyde Limits"</formula>
    </cfRule>
    <cfRule type="cellIs" priority="13" dxfId="3" operator="equal" stopIfTrue="1">
      <formula>"          -M5: Electrical Survey"</formula>
    </cfRule>
    <cfRule type="cellIs" priority="14" dxfId="2" operator="equal" stopIfTrue="1">
      <formula>"          -M5: Electrical Survey "</formula>
    </cfRule>
  </conditionalFormatting>
  <conditionalFormatting sqref="A343">
    <cfRule type="cellIs" priority="10" dxfId="3" operator="equal" stopIfTrue="1">
      <formula>"          -J3: Meet Energy Budget for Home Based on Year"</formula>
    </cfRule>
    <cfRule type="cellIs" priority="11" dxfId="2" operator="equal" stopIfTrue="1">
      <formula>"          -J3: Meet Energy Budget for Home Based on Year "</formula>
    </cfRule>
  </conditionalFormatting>
  <conditionalFormatting sqref="A343">
    <cfRule type="cellIs" priority="8" dxfId="3" operator="equal" stopIfTrue="1">
      <formula>"          -M5: Electrical Survey"</formula>
    </cfRule>
    <cfRule type="cellIs" priority="9" dxfId="2" operator="equal" stopIfTrue="1">
      <formula>"          -M5: Electrical Survey "</formula>
    </cfRule>
  </conditionalFormatting>
  <conditionalFormatting sqref="A343">
    <cfRule type="cellIs" priority="6" dxfId="3" operator="equal" stopIfTrue="1">
      <formula>"          -J3: Meet Energy Budget for Home Based on Year"</formula>
    </cfRule>
    <cfRule type="cellIs" priority="7" dxfId="2" operator="equal" stopIfTrue="1">
      <formula>"          -J3: Meet Energy Budget for Home Based on Year "</formula>
    </cfRule>
  </conditionalFormatting>
  <conditionalFormatting sqref="A343">
    <cfRule type="cellIs" priority="3" dxfId="0" operator="equal" stopIfTrue="1">
      <formula>"          -K7: Meet Current CARB ATCM for Composite Wood Formaldehyde Limits"</formula>
    </cfRule>
    <cfRule type="cellIs" priority="4" dxfId="3" operator="equal" stopIfTrue="1">
      <formula>"          -M5: Electrical Survey"</formula>
    </cfRule>
    <cfRule type="cellIs" priority="5" dxfId="2" operator="equal" stopIfTrue="1">
      <formula>"          -M5: Electrical Survey "</formula>
    </cfRule>
  </conditionalFormatting>
  <conditionalFormatting sqref="K244">
    <cfRule type="cellIs" priority="2" dxfId="0" operator="equal" stopIfTrue="1">
      <formula>"N"</formula>
    </cfRule>
  </conditionalFormatting>
  <conditionalFormatting sqref="K221">
    <cfRule type="cellIs" priority="1" dxfId="0" operator="equal" stopIfTrue="1">
      <formula>"N"</formula>
    </cfRule>
  </conditionalFormatting>
  <dataValidations count="14">
    <dataValidation type="textLength" operator="lessThanOrEqual" allowBlank="1" showInputMessage="1" showErrorMessage="1" error="You have exceeded the 300 character maximum for this cell. Please shorten or reword this Innovation Credit to 300 characters or less." sqref="L299:Q306 J256 A257">
      <formula1>300</formula1>
    </dataValidation>
    <dataValidation type="list" allowBlank="1" showInputMessage="1" showErrorMessage="1" sqref="A278">
      <formula1>"25%, ≥50%, No, TBD"</formula1>
    </dataValidation>
    <dataValidation type="list" allowBlank="1" showInputMessage="1" showErrorMessage="1" sqref="A296:A297 A290:A291 A287 A285 A281:A283 A269 A267 A299:A306 A13 A24:A27 A33:A35 A37:A40 A43 A46:A47 A53 A55:A57 A59:A61 A66:A69 A71:A75 A77:A79 A82 A84:A87 A110:A111 A117:A119 A139:A140 A143 A146 A150:A154 A156:A157 A159 A161:A165 A169 A171:A172 A174:A176 A178:A180 A186 A189:A195 A204:A205 A208 A226 A234 A236:A237 A239:A240 A242:A245 A247 A251:A252 A254:A256 A261 A264 A197:A202 A10 A221">
      <formula1>"Yes,No,TBD"</formula1>
    </dataValidation>
    <dataValidation type="list" allowBlank="1" showInputMessage="1" showErrorMessage="1" sqref="A271:A276 A284 A268 A80:A81 A91:A93 A95:A101 A103:A104 A106:A108 A112 A114:A115 A122:A125 A129:A130 A132:A134 A141 A144:A145 A158 A167:A168 A210:A214 A51:A52 A223:A225 A229:A231 A248 A216:A220">
      <formula1>"10%,25%,50%,75%,≥90%,No,TBD"</formula1>
    </dataValidation>
    <dataValidation type="list" allowBlank="1" showInputMessage="1" showErrorMessage="1" sqref="A246">
      <formula1>"25%,50%,75%,≥90%,No,TBD"</formula1>
    </dataValidation>
    <dataValidation type="list" allowBlank="1" showInputMessage="1" showErrorMessage="1" sqref="A138">
      <formula1>"25%,≥50%,No,TBD"</formula1>
    </dataValidation>
    <dataValidation type="list" allowBlank="1" showInputMessage="1" showErrorMessage="1" sqref="A64">
      <formula1>"Yes,No"</formula1>
    </dataValidation>
    <dataValidation allowBlank="1" showErrorMessage="1" prompt="If your Elements project involves a remodel, you are required to recycle all cardboard, concrete and metal" sqref="J45"/>
    <dataValidation type="list" allowBlank="1" showInputMessage="1" showErrorMessage="1" sqref="A45">
      <formula1>"Yes,N/A,TBD"</formula1>
    </dataValidation>
    <dataValidation type="whole" operator="greaterThanOrEqual" allowBlank="1" showInputMessage="1" showErrorMessage="1" sqref="A12">
      <formula1>0</formula1>
    </dataValidation>
    <dataValidation allowBlank="1" showInputMessage="1" promptTitle="Input Project Name" errorTitle="Character Max Exceeded" sqref="L8"/>
    <dataValidation type="textLength" operator="lessThanOrEqual" allowBlank="1" showInputMessage="1" showErrorMessage="1" sqref="A1">
      <formula1>60</formula1>
    </dataValidation>
    <dataValidation type="list" allowBlank="1" showInputMessage="1" showErrorMessage="1" sqref="Q3">
      <formula1>$W$3:$W$4</formula1>
    </dataValidation>
    <dataValidation type="list" allowBlank="1" showInputMessage="1" showErrorMessage="1" sqref="N3:P3">
      <formula1>"Whole House, Elements"</formula1>
    </dataValidation>
  </dataValidations>
  <printOptions/>
  <pageMargins left="0.5" right="0.5" top="0.5" bottom="0.69" header="0.5" footer="0.5"/>
  <pageSetup fitToHeight="0" fitToWidth="1" horizontalDpi="600" verticalDpi="600" orientation="portrait" scale="78" r:id="rId4"/>
  <headerFooter alignWithMargins="0">
    <oddFooter>&amp;L © 2020 Build It Green &amp;CGreenPoint Rated Existing Home Checklist v2.1.3&amp;R&amp;P</oddFooter>
  </headerFooter>
  <rowBreaks count="5" manualBreakCount="5">
    <brk id="47" max="15" man="1"/>
    <brk id="108" max="15" man="1"/>
    <brk id="169" max="15" man="1"/>
    <brk id="221" max="15" man="1"/>
    <brk id="276" max="15" man="1"/>
  </rowBreaks>
  <ignoredErrors>
    <ignoredError sqref="B344:J350 B335:J340 M6:P6 A336 A346:A350 B342:J342" unlockedFormula="1"/>
    <ignoredError sqref="K247 K204 I282 I74 B158 H124 G224 B246 B268 K179 D197 K244"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KEMA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Daisy Allen</dc:creator>
  <cp:keywords/>
  <dc:description/>
  <cp:lastModifiedBy>Kurt Kniel</cp:lastModifiedBy>
  <cp:lastPrinted>2020-09-23T00:46:52Z</cp:lastPrinted>
  <dcterms:created xsi:type="dcterms:W3CDTF">2007-03-07T03:59:49Z</dcterms:created>
  <dcterms:modified xsi:type="dcterms:W3CDTF">2020-09-23T00:49:34Z</dcterms:modified>
  <cp:category/>
  <cp:version/>
  <cp:contentType/>
  <cp:contentStatus/>
</cp:coreProperties>
</file>